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\Documents\nautical_institute\documents\"/>
    </mc:Choice>
  </mc:AlternateContent>
  <xr:revisionPtr revIDLastSave="0" documentId="8_{EFC75741-1509-47F6-AEA1-C64CB7BB48C6}" xr6:coauthVersionLast="38" xr6:coauthVersionMax="38" xr10:uidLastSave="{00000000-0000-0000-0000-000000000000}"/>
  <workbookProtection workbookPassword="870B" lockStructure="1"/>
  <bookViews>
    <workbookView xWindow="0" yWindow="0" windowWidth="24000" windowHeight="9525" activeTab="1" xr2:uid="{00000000-000D-0000-FFFF-FFFF00000000}"/>
  </bookViews>
  <sheets>
    <sheet name="New RPD &amp; RPB" sheetId="1" r:id="rId1"/>
    <sheet name="5° Table" sheetId="4" r:id="rId2"/>
    <sheet name="10° Table" sheetId="5" r:id="rId3"/>
    <sheet name="15° Table " sheetId="6" r:id="rId4"/>
    <sheet name="20° Table" sheetId="7" r:id="rId5"/>
  </sheets>
  <definedNames>
    <definedName name="Init_Co">'New RPD &amp; RPB'!$E$6</definedName>
    <definedName name="Initial_Course">'New RPD &amp; RPB'!$E$6</definedName>
    <definedName name="solver_adj" localSheetId="0" hidden="1">'New RPD &amp; RPB'!$E$10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'New RPD &amp; RPB'!$M$14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7" l="1"/>
  <c r="B6" i="7"/>
  <c r="D4" i="7"/>
  <c r="F4" i="7"/>
  <c r="F5" i="7" s="1"/>
  <c r="H4" i="7"/>
  <c r="H5" i="7" s="1"/>
  <c r="J4" i="7"/>
  <c r="L4" i="7" s="1"/>
  <c r="N4" i="7" s="1"/>
  <c r="V31" i="7"/>
  <c r="D31" i="7"/>
  <c r="E30" i="7"/>
  <c r="G1" i="7"/>
  <c r="H5" i="4"/>
  <c r="D5" i="4"/>
  <c r="E17" i="1"/>
  <c r="E16" i="1"/>
  <c r="G1" i="6"/>
  <c r="G1" i="5"/>
  <c r="G1" i="4"/>
  <c r="B6" i="5"/>
  <c r="D4" i="5"/>
  <c r="B6" i="6"/>
  <c r="B8" i="6" s="1"/>
  <c r="B10" i="6" s="1"/>
  <c r="D4" i="6"/>
  <c r="V31" i="6"/>
  <c r="D31" i="6"/>
  <c r="E30" i="6"/>
  <c r="U31" i="5"/>
  <c r="B31" i="5"/>
  <c r="D30" i="5"/>
  <c r="D4" i="4"/>
  <c r="F4" i="4"/>
  <c r="F5" i="4" s="1"/>
  <c r="H4" i="4"/>
  <c r="J4" i="4"/>
  <c r="J5" i="4" s="1"/>
  <c r="V31" i="4"/>
  <c r="M6" i="1"/>
  <c r="G30" i="6" s="1"/>
  <c r="L6" i="1"/>
  <c r="E30" i="5" s="1"/>
  <c r="F30" i="6"/>
  <c r="E30" i="4"/>
  <c r="B6" i="4"/>
  <c r="C6" i="4" s="1"/>
  <c r="D31" i="4"/>
  <c r="H7" i="1"/>
  <c r="H6" i="1"/>
  <c r="H8" i="1" s="1"/>
  <c r="G16" i="1"/>
  <c r="O1" i="6"/>
  <c r="O1" i="4"/>
  <c r="M7" i="1"/>
  <c r="G31" i="6" s="1"/>
  <c r="D30" i="7" l="1"/>
  <c r="Q1" i="7"/>
  <c r="O1" i="7"/>
  <c r="Q1" i="6"/>
  <c r="D30" i="6"/>
  <c r="Q1" i="4"/>
  <c r="I8" i="1"/>
  <c r="Q1" i="5"/>
  <c r="O1" i="5"/>
  <c r="D30" i="4"/>
  <c r="H9" i="1"/>
  <c r="B30" i="5"/>
  <c r="L7" i="1"/>
  <c r="G31" i="7"/>
  <c r="G31" i="4"/>
  <c r="F31" i="5"/>
  <c r="B8" i="4"/>
  <c r="D5" i="6"/>
  <c r="F4" i="6"/>
  <c r="F8" i="6" s="1"/>
  <c r="H6" i="4"/>
  <c r="J6" i="4"/>
  <c r="C10" i="6"/>
  <c r="B12" i="6"/>
  <c r="N5" i="7"/>
  <c r="P4" i="7"/>
  <c r="G30" i="4"/>
  <c r="L4" i="4"/>
  <c r="C6" i="5"/>
  <c r="B8" i="5"/>
  <c r="B10" i="5" s="1"/>
  <c r="D8" i="4"/>
  <c r="D6" i="6"/>
  <c r="F6" i="4"/>
  <c r="L5" i="7"/>
  <c r="D5" i="5"/>
  <c r="F4" i="5"/>
  <c r="F10" i="5" s="1"/>
  <c r="C6" i="7"/>
  <c r="B8" i="7"/>
  <c r="C8" i="6"/>
  <c r="F30" i="5"/>
  <c r="G30" i="7"/>
  <c r="F8" i="7"/>
  <c r="F30" i="4"/>
  <c r="F30" i="7"/>
  <c r="J5" i="7"/>
  <c r="C6" i="6"/>
  <c r="C10" i="5"/>
  <c r="D10" i="5"/>
  <c r="B12" i="5"/>
  <c r="C8" i="5"/>
  <c r="F8" i="4"/>
  <c r="C12" i="6" l="1"/>
  <c r="B14" i="6"/>
  <c r="C8" i="4"/>
  <c r="B10" i="4"/>
  <c r="J10" i="4" s="1"/>
  <c r="P5" i="7"/>
  <c r="R4" i="7"/>
  <c r="C8" i="7"/>
  <c r="B10" i="7"/>
  <c r="L10" i="7" s="1"/>
  <c r="D6" i="5"/>
  <c r="D8" i="5"/>
  <c r="F8" i="5"/>
  <c r="N31" i="7"/>
  <c r="H10" i="1"/>
  <c r="N31" i="4"/>
  <c r="M31" i="5"/>
  <c r="N31" i="6"/>
  <c r="L8" i="7"/>
  <c r="D6" i="4"/>
  <c r="H8" i="4"/>
  <c r="H10" i="4"/>
  <c r="F10" i="4"/>
  <c r="J8" i="4"/>
  <c r="L10" i="4"/>
  <c r="L8" i="4"/>
  <c r="L6" i="4"/>
  <c r="F10" i="6"/>
  <c r="D8" i="6"/>
  <c r="H6" i="6"/>
  <c r="D12" i="6"/>
  <c r="H10" i="6"/>
  <c r="F6" i="6"/>
  <c r="D10" i="6"/>
  <c r="H12" i="6"/>
  <c r="H14" i="6"/>
  <c r="F12" i="6"/>
  <c r="F5" i="5"/>
  <c r="H4" i="5"/>
  <c r="F31" i="6"/>
  <c r="F31" i="7"/>
  <c r="F31" i="4"/>
  <c r="E31" i="5"/>
  <c r="L5" i="4"/>
  <c r="N4" i="4"/>
  <c r="F5" i="6"/>
  <c r="H4" i="6"/>
  <c r="F6" i="5"/>
  <c r="D6" i="7"/>
  <c r="D8" i="7"/>
  <c r="H6" i="7"/>
  <c r="N6" i="7"/>
  <c r="H8" i="7"/>
  <c r="J8" i="7"/>
  <c r="L6" i="7"/>
  <c r="P8" i="7"/>
  <c r="D10" i="7"/>
  <c r="J6" i="7"/>
  <c r="F6" i="7"/>
  <c r="R6" i="7"/>
  <c r="P6" i="7"/>
  <c r="N8" i="7"/>
  <c r="P10" i="7"/>
  <c r="B14" i="5"/>
  <c r="C12" i="5"/>
  <c r="D12" i="5"/>
  <c r="F12" i="5"/>
  <c r="O31" i="7" l="1"/>
  <c r="S31" i="7"/>
  <c r="P31" i="7"/>
  <c r="R31" i="7"/>
  <c r="H5" i="5"/>
  <c r="J4" i="5"/>
  <c r="H12" i="5"/>
  <c r="H10" i="5"/>
  <c r="H6" i="5"/>
  <c r="H8" i="5"/>
  <c r="N5" i="4"/>
  <c r="P4" i="4"/>
  <c r="N8" i="4"/>
  <c r="N10" i="4"/>
  <c r="N6" i="4"/>
  <c r="R10" i="7"/>
  <c r="R8" i="7"/>
  <c r="F14" i="6"/>
  <c r="S31" i="6"/>
  <c r="R31" i="6"/>
  <c r="T31" i="6" s="1"/>
  <c r="O31" i="6"/>
  <c r="P31" i="6"/>
  <c r="C10" i="4"/>
  <c r="B12" i="4"/>
  <c r="D10" i="4"/>
  <c r="H5" i="6"/>
  <c r="J4" i="6"/>
  <c r="H8" i="6"/>
  <c r="N31" i="5"/>
  <c r="O31" i="5"/>
  <c r="R31" i="5"/>
  <c r="Q31" i="5"/>
  <c r="S31" i="5" s="1"/>
  <c r="S31" i="4"/>
  <c r="R31" i="4"/>
  <c r="T31" i="4" s="1"/>
  <c r="O31" i="4"/>
  <c r="P31" i="4"/>
  <c r="R5" i="7"/>
  <c r="T4" i="7"/>
  <c r="C14" i="6"/>
  <c r="B16" i="6"/>
  <c r="D14" i="6"/>
  <c r="C10" i="7"/>
  <c r="B12" i="7"/>
  <c r="F10" i="7"/>
  <c r="J10" i="7"/>
  <c r="N10" i="7"/>
  <c r="H10" i="7"/>
  <c r="C14" i="5"/>
  <c r="H14" i="5"/>
  <c r="J14" i="5"/>
  <c r="B16" i="5"/>
  <c r="D14" i="5"/>
  <c r="F14" i="5"/>
  <c r="U31" i="6" l="1"/>
  <c r="W31" i="6" s="1"/>
  <c r="K8" i="6" s="1"/>
  <c r="T5" i="7"/>
  <c r="V4" i="7"/>
  <c r="T8" i="7"/>
  <c r="T6" i="7"/>
  <c r="T14" i="7"/>
  <c r="T10" i="7"/>
  <c r="T12" i="7"/>
  <c r="T31" i="7"/>
  <c r="C12" i="7"/>
  <c r="B14" i="7"/>
  <c r="F12" i="7"/>
  <c r="L12" i="7"/>
  <c r="D12" i="7"/>
  <c r="N12" i="7"/>
  <c r="J12" i="7"/>
  <c r="H12" i="7"/>
  <c r="R12" i="7"/>
  <c r="P12" i="7"/>
  <c r="P31" i="5"/>
  <c r="T31" i="5" s="1"/>
  <c r="V31" i="5" s="1"/>
  <c r="J5" i="6"/>
  <c r="L4" i="6"/>
  <c r="J16" i="6"/>
  <c r="K10" i="6"/>
  <c r="J8" i="6"/>
  <c r="K18" i="6"/>
  <c r="J6" i="6"/>
  <c r="J14" i="6"/>
  <c r="J12" i="6"/>
  <c r="J10" i="6"/>
  <c r="C12" i="4"/>
  <c r="B14" i="4"/>
  <c r="K12" i="4"/>
  <c r="I12" i="4"/>
  <c r="J12" i="4"/>
  <c r="G12" i="4"/>
  <c r="D12" i="4"/>
  <c r="E12" i="4"/>
  <c r="F12" i="4"/>
  <c r="L12" i="4"/>
  <c r="H12" i="4"/>
  <c r="Q31" i="4"/>
  <c r="U31" i="4" s="1"/>
  <c r="W31" i="4" s="1"/>
  <c r="M12" i="4" s="1"/>
  <c r="P5" i="4"/>
  <c r="R4" i="4"/>
  <c r="Q6" i="4"/>
  <c r="Q10" i="4"/>
  <c r="Q8" i="4"/>
  <c r="Q12" i="4"/>
  <c r="P6" i="4"/>
  <c r="Q14" i="4"/>
  <c r="P12" i="4"/>
  <c r="P8" i="4"/>
  <c r="P10" i="4"/>
  <c r="Q31" i="7"/>
  <c r="N12" i="4"/>
  <c r="C16" i="6"/>
  <c r="B18" i="6"/>
  <c r="G16" i="6"/>
  <c r="F16" i="6"/>
  <c r="H16" i="6"/>
  <c r="D16" i="6"/>
  <c r="Q31" i="6"/>
  <c r="L4" i="5"/>
  <c r="J5" i="5"/>
  <c r="K6" i="5"/>
  <c r="K8" i="5"/>
  <c r="J10" i="5"/>
  <c r="K10" i="5"/>
  <c r="J6" i="5"/>
  <c r="J8" i="5"/>
  <c r="K12" i="5"/>
  <c r="J12" i="5"/>
  <c r="B18" i="5"/>
  <c r="D16" i="5"/>
  <c r="F16" i="5"/>
  <c r="J16" i="5"/>
  <c r="G16" i="5"/>
  <c r="E16" i="5"/>
  <c r="C16" i="5"/>
  <c r="H16" i="5"/>
  <c r="L16" i="5"/>
  <c r="I16" i="5"/>
  <c r="K16" i="5"/>
  <c r="M16" i="5"/>
  <c r="L13" i="4" l="1"/>
  <c r="M13" i="4"/>
  <c r="J9" i="6"/>
  <c r="K9" i="6"/>
  <c r="N4" i="6"/>
  <c r="L5" i="6"/>
  <c r="L18" i="6"/>
  <c r="M20" i="6"/>
  <c r="M16" i="6"/>
  <c r="M12" i="6"/>
  <c r="M8" i="6"/>
  <c r="M6" i="6"/>
  <c r="L12" i="6"/>
  <c r="M18" i="6"/>
  <c r="M14" i="6"/>
  <c r="M10" i="6"/>
  <c r="L8" i="6"/>
  <c r="L10" i="6"/>
  <c r="L6" i="6"/>
  <c r="L20" i="6"/>
  <c r="L16" i="6"/>
  <c r="L14" i="6"/>
  <c r="J13" i="5"/>
  <c r="K13" i="5"/>
  <c r="L5" i="5"/>
  <c r="N4" i="5"/>
  <c r="L6" i="5"/>
  <c r="M8" i="5"/>
  <c r="M6" i="5"/>
  <c r="M10" i="5"/>
  <c r="L10" i="5"/>
  <c r="L8" i="5"/>
  <c r="L12" i="5"/>
  <c r="M12" i="5"/>
  <c r="M14" i="5"/>
  <c r="L14" i="5"/>
  <c r="C18" i="6"/>
  <c r="B20" i="6"/>
  <c r="E18" i="6"/>
  <c r="G18" i="6"/>
  <c r="D18" i="6"/>
  <c r="F18" i="6"/>
  <c r="H18" i="6"/>
  <c r="I18" i="6"/>
  <c r="P13" i="4"/>
  <c r="Q13" i="4"/>
  <c r="Q11" i="4"/>
  <c r="P11" i="4"/>
  <c r="C14" i="4"/>
  <c r="B16" i="4"/>
  <c r="G14" i="4"/>
  <c r="E14" i="4"/>
  <c r="H14" i="4"/>
  <c r="I14" i="4"/>
  <c r="K14" i="4"/>
  <c r="J14" i="4"/>
  <c r="F14" i="4"/>
  <c r="L14" i="4"/>
  <c r="M14" i="4"/>
  <c r="D14" i="4"/>
  <c r="O14" i="4"/>
  <c r="N14" i="4"/>
  <c r="Q9" i="4"/>
  <c r="P9" i="4"/>
  <c r="Q7" i="4"/>
  <c r="P7" i="4"/>
  <c r="D13" i="4"/>
  <c r="E13" i="4"/>
  <c r="J18" i="6"/>
  <c r="J19" i="6" s="1"/>
  <c r="K14" i="6"/>
  <c r="E6" i="5"/>
  <c r="G6" i="5"/>
  <c r="E10" i="5"/>
  <c r="E8" i="5"/>
  <c r="G8" i="5"/>
  <c r="G10" i="5"/>
  <c r="E12" i="5"/>
  <c r="G12" i="5"/>
  <c r="I14" i="5"/>
  <c r="G14" i="5"/>
  <c r="I6" i="5"/>
  <c r="I10" i="5"/>
  <c r="I8" i="5"/>
  <c r="I12" i="5"/>
  <c r="K14" i="5"/>
  <c r="E14" i="5"/>
  <c r="F17" i="6"/>
  <c r="G17" i="6"/>
  <c r="K11" i="6"/>
  <c r="J11" i="6"/>
  <c r="I16" i="6"/>
  <c r="T4" i="4"/>
  <c r="R5" i="4"/>
  <c r="S12" i="4"/>
  <c r="S10" i="4"/>
  <c r="S8" i="4"/>
  <c r="R14" i="4"/>
  <c r="S6" i="4"/>
  <c r="R16" i="4"/>
  <c r="S16" i="4"/>
  <c r="S14" i="4"/>
  <c r="R6" i="4"/>
  <c r="R10" i="4"/>
  <c r="R12" i="4"/>
  <c r="R8" i="4"/>
  <c r="K6" i="6"/>
  <c r="B16" i="7"/>
  <c r="C14" i="7"/>
  <c r="L14" i="7"/>
  <c r="P14" i="7"/>
  <c r="N14" i="7"/>
  <c r="H14" i="7"/>
  <c r="J14" i="7"/>
  <c r="D14" i="7"/>
  <c r="F14" i="7"/>
  <c r="R14" i="7"/>
  <c r="K11" i="5"/>
  <c r="J11" i="5"/>
  <c r="F13" i="4"/>
  <c r="G13" i="4"/>
  <c r="K19" i="6"/>
  <c r="V5" i="7"/>
  <c r="X4" i="7"/>
  <c r="V6" i="7"/>
  <c r="V12" i="7"/>
  <c r="V8" i="7"/>
  <c r="V16" i="7"/>
  <c r="V14" i="7"/>
  <c r="V10" i="7"/>
  <c r="P14" i="4"/>
  <c r="P15" i="4" s="1"/>
  <c r="G8" i="4"/>
  <c r="E6" i="4"/>
  <c r="K6" i="4"/>
  <c r="I6" i="4"/>
  <c r="G6" i="4"/>
  <c r="I8" i="4"/>
  <c r="I16" i="1"/>
  <c r="K8" i="4"/>
  <c r="M6" i="4"/>
  <c r="E8" i="4"/>
  <c r="M8" i="4"/>
  <c r="M10" i="4"/>
  <c r="G10" i="4"/>
  <c r="E10" i="4"/>
  <c r="I10" i="4"/>
  <c r="O8" i="4"/>
  <c r="O10" i="4"/>
  <c r="K10" i="4"/>
  <c r="O6" i="4"/>
  <c r="K16" i="6"/>
  <c r="U31" i="7"/>
  <c r="W31" i="7" s="1"/>
  <c r="U14" i="7" s="1"/>
  <c r="K9" i="5"/>
  <c r="J9" i="5"/>
  <c r="I13" i="4"/>
  <c r="H13" i="4"/>
  <c r="G6" i="6"/>
  <c r="E10" i="6"/>
  <c r="G10" i="6"/>
  <c r="E6" i="6"/>
  <c r="E12" i="6"/>
  <c r="E8" i="6"/>
  <c r="G8" i="6"/>
  <c r="G12" i="6"/>
  <c r="G14" i="6"/>
  <c r="E14" i="6"/>
  <c r="I12" i="6"/>
  <c r="I14" i="6"/>
  <c r="I6" i="6"/>
  <c r="I8" i="6"/>
  <c r="I10" i="6"/>
  <c r="K7" i="5"/>
  <c r="J7" i="5"/>
  <c r="E16" i="6"/>
  <c r="K13" i="4"/>
  <c r="J13" i="4"/>
  <c r="K12" i="6"/>
  <c r="O12" i="4"/>
  <c r="M17" i="5"/>
  <c r="L17" i="5"/>
  <c r="I17" i="5"/>
  <c r="H17" i="5"/>
  <c r="G17" i="5"/>
  <c r="F17" i="5"/>
  <c r="C18" i="5"/>
  <c r="D18" i="5"/>
  <c r="F18" i="5"/>
  <c r="L18" i="5"/>
  <c r="O18" i="5"/>
  <c r="I18" i="5"/>
  <c r="E18" i="5"/>
  <c r="G18" i="5"/>
  <c r="K18" i="5"/>
  <c r="M18" i="5"/>
  <c r="B20" i="5"/>
  <c r="H18" i="5"/>
  <c r="J18" i="5"/>
  <c r="N18" i="5"/>
  <c r="J17" i="5"/>
  <c r="K17" i="5"/>
  <c r="D17" i="5"/>
  <c r="E17" i="5"/>
  <c r="T15" i="7" l="1"/>
  <c r="U15" i="7"/>
  <c r="G7" i="4"/>
  <c r="F7" i="4"/>
  <c r="D17" i="6"/>
  <c r="E17" i="6"/>
  <c r="M9" i="4"/>
  <c r="L9" i="4"/>
  <c r="G15" i="6"/>
  <c r="F15" i="6"/>
  <c r="D9" i="4"/>
  <c r="E9" i="4"/>
  <c r="W6" i="7"/>
  <c r="S9" i="4"/>
  <c r="R9" i="4"/>
  <c r="G15" i="5"/>
  <c r="F15" i="5"/>
  <c r="G7" i="5"/>
  <c r="F7" i="5"/>
  <c r="F19" i="6"/>
  <c r="G19" i="6"/>
  <c r="L7" i="6"/>
  <c r="M7" i="6"/>
  <c r="M7" i="4"/>
  <c r="L7" i="4"/>
  <c r="S11" i="4"/>
  <c r="R11" i="4"/>
  <c r="E7" i="5"/>
  <c r="D7" i="5"/>
  <c r="J15" i="4"/>
  <c r="K15" i="4"/>
  <c r="D19" i="6"/>
  <c r="E19" i="6"/>
  <c r="P4" i="6"/>
  <c r="N5" i="6"/>
  <c r="O14" i="6"/>
  <c r="N18" i="6"/>
  <c r="O10" i="6"/>
  <c r="O16" i="6"/>
  <c r="N22" i="6"/>
  <c r="O6" i="6"/>
  <c r="O12" i="6"/>
  <c r="O20" i="6"/>
  <c r="N20" i="6"/>
  <c r="N10" i="6"/>
  <c r="O18" i="6"/>
  <c r="O8" i="6"/>
  <c r="N12" i="6"/>
  <c r="N8" i="6"/>
  <c r="N6" i="6"/>
  <c r="N16" i="6"/>
  <c r="N14" i="6"/>
  <c r="H15" i="6"/>
  <c r="I15" i="6"/>
  <c r="F13" i="6"/>
  <c r="G13" i="6"/>
  <c r="I11" i="6"/>
  <c r="H11" i="6"/>
  <c r="F9" i="6"/>
  <c r="G9" i="6"/>
  <c r="O9" i="4"/>
  <c r="N9" i="4"/>
  <c r="K9" i="4"/>
  <c r="J9" i="4"/>
  <c r="S17" i="4"/>
  <c r="R17" i="4"/>
  <c r="S13" i="4"/>
  <c r="R13" i="4"/>
  <c r="D15" i="5"/>
  <c r="E15" i="5"/>
  <c r="G13" i="5"/>
  <c r="F13" i="5"/>
  <c r="J15" i="6"/>
  <c r="K15" i="6"/>
  <c r="H15" i="4"/>
  <c r="I15" i="4"/>
  <c r="C20" i="6"/>
  <c r="B22" i="6"/>
  <c r="G20" i="6"/>
  <c r="E20" i="6"/>
  <c r="D20" i="6"/>
  <c r="F20" i="6"/>
  <c r="H20" i="6"/>
  <c r="I20" i="6"/>
  <c r="J20" i="6"/>
  <c r="K20" i="6"/>
  <c r="M11" i="5"/>
  <c r="L11" i="5"/>
  <c r="L9" i="6"/>
  <c r="M9" i="6"/>
  <c r="Q15" i="4"/>
  <c r="D15" i="6"/>
  <c r="E15" i="6"/>
  <c r="K7" i="4"/>
  <c r="J7" i="4"/>
  <c r="F7" i="6"/>
  <c r="G7" i="6"/>
  <c r="E7" i="4"/>
  <c r="D7" i="4"/>
  <c r="Q14" i="7"/>
  <c r="F9" i="4"/>
  <c r="G9" i="4"/>
  <c r="O13" i="4"/>
  <c r="N13" i="4"/>
  <c r="E9" i="6"/>
  <c r="D9" i="6"/>
  <c r="M7" i="5"/>
  <c r="L7" i="5"/>
  <c r="M11" i="6"/>
  <c r="L11" i="6"/>
  <c r="L13" i="6"/>
  <c r="M13" i="6"/>
  <c r="I10" i="7"/>
  <c r="M10" i="7"/>
  <c r="K8" i="7"/>
  <c r="O6" i="7"/>
  <c r="S8" i="7"/>
  <c r="G10" i="7"/>
  <c r="E6" i="7"/>
  <c r="I8" i="7"/>
  <c r="M6" i="7"/>
  <c r="Q6" i="7"/>
  <c r="M8" i="7"/>
  <c r="I6" i="7"/>
  <c r="E8" i="7"/>
  <c r="O10" i="7"/>
  <c r="K6" i="7"/>
  <c r="O8" i="7"/>
  <c r="Q8" i="7"/>
  <c r="G6" i="7"/>
  <c r="E10" i="7"/>
  <c r="Q10" i="7"/>
  <c r="K10" i="7"/>
  <c r="S10" i="7"/>
  <c r="S6" i="7"/>
  <c r="G8" i="7"/>
  <c r="U10" i="7"/>
  <c r="G12" i="7"/>
  <c r="U8" i="7"/>
  <c r="E12" i="7"/>
  <c r="O12" i="7"/>
  <c r="K12" i="7"/>
  <c r="S12" i="7"/>
  <c r="U12" i="7"/>
  <c r="Q12" i="7"/>
  <c r="I12" i="7"/>
  <c r="U6" i="7"/>
  <c r="M12" i="7"/>
  <c r="D11" i="6"/>
  <c r="E11" i="6"/>
  <c r="J11" i="4"/>
  <c r="K11" i="4"/>
  <c r="W12" i="7"/>
  <c r="O11" i="4"/>
  <c r="N11" i="4"/>
  <c r="W14" i="7"/>
  <c r="X5" i="7"/>
  <c r="X6" i="7"/>
  <c r="X14" i="7"/>
  <c r="X8" i="7"/>
  <c r="Y10" i="7"/>
  <c r="Y8" i="7"/>
  <c r="Y14" i="7"/>
  <c r="Y6" i="7"/>
  <c r="X10" i="7"/>
  <c r="X16" i="7"/>
  <c r="Y12" i="7"/>
  <c r="X12" i="7"/>
  <c r="Y16" i="7"/>
  <c r="M14" i="7"/>
  <c r="I15" i="5"/>
  <c r="H15" i="5"/>
  <c r="H9" i="6"/>
  <c r="I9" i="6"/>
  <c r="I11" i="4"/>
  <c r="H11" i="4"/>
  <c r="K16" i="1"/>
  <c r="M16" i="1"/>
  <c r="W16" i="7"/>
  <c r="O14" i="7"/>
  <c r="C16" i="7"/>
  <c r="B18" i="7"/>
  <c r="X18" i="7" s="1"/>
  <c r="N16" i="7"/>
  <c r="H16" i="7"/>
  <c r="I16" i="7"/>
  <c r="J16" i="7"/>
  <c r="P16" i="7"/>
  <c r="O16" i="7"/>
  <c r="Q16" i="7"/>
  <c r="D16" i="7"/>
  <c r="F16" i="7"/>
  <c r="E16" i="7"/>
  <c r="G16" i="7"/>
  <c r="M16" i="7"/>
  <c r="K16" i="7"/>
  <c r="L16" i="7"/>
  <c r="S16" i="7"/>
  <c r="R16" i="7"/>
  <c r="T16" i="7"/>
  <c r="U16" i="7"/>
  <c r="K15" i="5"/>
  <c r="J15" i="5"/>
  <c r="E13" i="5"/>
  <c r="D13" i="5"/>
  <c r="O15" i="4"/>
  <c r="N15" i="4"/>
  <c r="J13" i="6"/>
  <c r="K13" i="6"/>
  <c r="H7" i="6"/>
  <c r="I7" i="6"/>
  <c r="D13" i="6"/>
  <c r="E13" i="6"/>
  <c r="D11" i="4"/>
  <c r="E11" i="4"/>
  <c r="I9" i="4"/>
  <c r="H9" i="4"/>
  <c r="E14" i="7"/>
  <c r="G14" i="7"/>
  <c r="J7" i="6"/>
  <c r="K7" i="6"/>
  <c r="T5" i="4"/>
  <c r="V4" i="4"/>
  <c r="U16" i="4"/>
  <c r="U14" i="4"/>
  <c r="U6" i="4"/>
  <c r="U8" i="4"/>
  <c r="U12" i="4"/>
  <c r="U10" i="4"/>
  <c r="T14" i="4"/>
  <c r="T16" i="4"/>
  <c r="T8" i="4"/>
  <c r="T10" i="4"/>
  <c r="T12" i="4"/>
  <c r="T6" i="4"/>
  <c r="I13" i="5"/>
  <c r="H13" i="5"/>
  <c r="G11" i="5"/>
  <c r="F11" i="5"/>
  <c r="D15" i="4"/>
  <c r="E15" i="4"/>
  <c r="H19" i="6"/>
  <c r="I19" i="6"/>
  <c r="M9" i="5"/>
  <c r="L9" i="5"/>
  <c r="L15" i="6"/>
  <c r="M15" i="6"/>
  <c r="L17" i="6"/>
  <c r="M17" i="6"/>
  <c r="G11" i="4"/>
  <c r="F11" i="4"/>
  <c r="K14" i="7"/>
  <c r="S7" i="4"/>
  <c r="R7" i="4"/>
  <c r="I17" i="6"/>
  <c r="H17" i="6"/>
  <c r="I9" i="5"/>
  <c r="H9" i="5"/>
  <c r="G9" i="5"/>
  <c r="F9" i="5"/>
  <c r="M15" i="4"/>
  <c r="L15" i="4"/>
  <c r="G15" i="4"/>
  <c r="F15" i="4"/>
  <c r="M15" i="5"/>
  <c r="L15" i="5"/>
  <c r="M19" i="6"/>
  <c r="L19" i="6"/>
  <c r="M21" i="6"/>
  <c r="L21" i="6"/>
  <c r="H13" i="6"/>
  <c r="I13" i="6"/>
  <c r="F11" i="6"/>
  <c r="G11" i="6"/>
  <c r="K17" i="6"/>
  <c r="J17" i="6"/>
  <c r="M11" i="4"/>
  <c r="L11" i="4"/>
  <c r="I7" i="4"/>
  <c r="H7" i="4"/>
  <c r="W8" i="7"/>
  <c r="S14" i="7"/>
  <c r="I14" i="7"/>
  <c r="I11" i="5"/>
  <c r="H11" i="5"/>
  <c r="E9" i="5"/>
  <c r="D9" i="5"/>
  <c r="B18" i="4"/>
  <c r="C16" i="4"/>
  <c r="J16" i="4"/>
  <c r="E16" i="4"/>
  <c r="H16" i="4"/>
  <c r="G16" i="4"/>
  <c r="K16" i="4"/>
  <c r="I16" i="4"/>
  <c r="F16" i="4"/>
  <c r="L16" i="4"/>
  <c r="D16" i="4"/>
  <c r="M16" i="4"/>
  <c r="O16" i="4"/>
  <c r="N16" i="4"/>
  <c r="Q16" i="4"/>
  <c r="P16" i="4"/>
  <c r="M13" i="5"/>
  <c r="L13" i="5"/>
  <c r="N5" i="5"/>
  <c r="P4" i="5"/>
  <c r="O8" i="5"/>
  <c r="O6" i="5"/>
  <c r="N10" i="5"/>
  <c r="N8" i="5"/>
  <c r="O10" i="5"/>
  <c r="N6" i="5"/>
  <c r="N12" i="5"/>
  <c r="O12" i="5"/>
  <c r="N14" i="5"/>
  <c r="O14" i="5"/>
  <c r="N16" i="5"/>
  <c r="O16" i="5"/>
  <c r="D7" i="6"/>
  <c r="E7" i="6"/>
  <c r="N7" i="4"/>
  <c r="O7" i="4"/>
  <c r="W10" i="7"/>
  <c r="S15" i="4"/>
  <c r="R15" i="4"/>
  <c r="I7" i="5"/>
  <c r="H7" i="5"/>
  <c r="E11" i="5"/>
  <c r="D11" i="5"/>
  <c r="K19" i="5"/>
  <c r="J19" i="5"/>
  <c r="E19" i="5"/>
  <c r="D19" i="5"/>
  <c r="O19" i="5"/>
  <c r="N19" i="5"/>
  <c r="B22" i="5"/>
  <c r="J20" i="5"/>
  <c r="L20" i="5"/>
  <c r="O20" i="5"/>
  <c r="N20" i="5"/>
  <c r="P20" i="5"/>
  <c r="C20" i="5"/>
  <c r="D20" i="5"/>
  <c r="F20" i="5"/>
  <c r="I20" i="5"/>
  <c r="G20" i="5"/>
  <c r="E20" i="5"/>
  <c r="K20" i="5"/>
  <c r="M20" i="5"/>
  <c r="Q20" i="5"/>
  <c r="H20" i="5"/>
  <c r="M19" i="5"/>
  <c r="L19" i="5"/>
  <c r="G19" i="5"/>
  <c r="F19" i="5"/>
  <c r="H19" i="5"/>
  <c r="I19" i="5"/>
  <c r="O11" i="5" l="1"/>
  <c r="N11" i="5"/>
  <c r="C18" i="4"/>
  <c r="B20" i="4"/>
  <c r="I18" i="4"/>
  <c r="H18" i="4"/>
  <c r="E18" i="4"/>
  <c r="G18" i="4"/>
  <c r="J18" i="4"/>
  <c r="K18" i="4"/>
  <c r="D18" i="4"/>
  <c r="M18" i="4"/>
  <c r="L18" i="4"/>
  <c r="F18" i="4"/>
  <c r="O18" i="4"/>
  <c r="N18" i="4"/>
  <c r="P18" i="4"/>
  <c r="Q18" i="4"/>
  <c r="R18" i="4"/>
  <c r="S18" i="4"/>
  <c r="U11" i="4"/>
  <c r="T11" i="4"/>
  <c r="E15" i="7"/>
  <c r="D15" i="7"/>
  <c r="G17" i="7"/>
  <c r="F17" i="7"/>
  <c r="I17" i="7"/>
  <c r="H17" i="7"/>
  <c r="Y18" i="7"/>
  <c r="X7" i="7"/>
  <c r="Y7" i="7"/>
  <c r="T7" i="7"/>
  <c r="U7" i="7"/>
  <c r="T9" i="7"/>
  <c r="U9" i="7"/>
  <c r="E11" i="7"/>
  <c r="D11" i="7"/>
  <c r="L9" i="7"/>
  <c r="M9" i="7"/>
  <c r="K9" i="7"/>
  <c r="J9" i="7"/>
  <c r="N19" i="6"/>
  <c r="O19" i="6"/>
  <c r="N17" i="6"/>
  <c r="O17" i="6"/>
  <c r="V9" i="7"/>
  <c r="W9" i="7"/>
  <c r="N17" i="5"/>
  <c r="O17" i="5"/>
  <c r="I17" i="4"/>
  <c r="H17" i="4"/>
  <c r="U13" i="4"/>
  <c r="T13" i="4"/>
  <c r="U15" i="4"/>
  <c r="T15" i="4"/>
  <c r="T17" i="7"/>
  <c r="U17" i="7"/>
  <c r="D17" i="7"/>
  <c r="E17" i="7"/>
  <c r="Y17" i="7"/>
  <c r="X17" i="7"/>
  <c r="H13" i="7"/>
  <c r="I13" i="7"/>
  <c r="G13" i="7"/>
  <c r="F13" i="7"/>
  <c r="F7" i="7"/>
  <c r="G7" i="7"/>
  <c r="P7" i="7"/>
  <c r="Q7" i="7"/>
  <c r="M11" i="7"/>
  <c r="L11" i="7"/>
  <c r="Q17" i="4"/>
  <c r="P17" i="4"/>
  <c r="K17" i="4"/>
  <c r="J17" i="4"/>
  <c r="U17" i="4"/>
  <c r="T17" i="4"/>
  <c r="X15" i="7"/>
  <c r="Y15" i="7"/>
  <c r="V13" i="7"/>
  <c r="W13" i="7"/>
  <c r="P13" i="7"/>
  <c r="Q13" i="7"/>
  <c r="U11" i="7"/>
  <c r="T11" i="7"/>
  <c r="P9" i="7"/>
  <c r="Q9" i="7"/>
  <c r="M7" i="7"/>
  <c r="L7" i="7"/>
  <c r="H11" i="7"/>
  <c r="I11" i="7"/>
  <c r="N11" i="6"/>
  <c r="O11" i="6"/>
  <c r="O15" i="5"/>
  <c r="N15" i="5"/>
  <c r="F17" i="4"/>
  <c r="G17" i="4"/>
  <c r="V5" i="4"/>
  <c r="X4" i="4"/>
  <c r="W18" i="4"/>
  <c r="W8" i="4"/>
  <c r="W16" i="4"/>
  <c r="W20" i="4"/>
  <c r="W12" i="4"/>
  <c r="W14" i="4"/>
  <c r="W10" i="4"/>
  <c r="W6" i="4"/>
  <c r="V6" i="4"/>
  <c r="V8" i="4"/>
  <c r="V18" i="4"/>
  <c r="V20" i="4"/>
  <c r="V14" i="4"/>
  <c r="V10" i="4"/>
  <c r="V16" i="4"/>
  <c r="V12" i="4"/>
  <c r="C18" i="7"/>
  <c r="B20" i="7"/>
  <c r="H18" i="7"/>
  <c r="F18" i="7"/>
  <c r="P18" i="7"/>
  <c r="M18" i="7"/>
  <c r="D18" i="7"/>
  <c r="E18" i="7"/>
  <c r="I18" i="7"/>
  <c r="Q18" i="7"/>
  <c r="J18" i="7"/>
  <c r="N18" i="7"/>
  <c r="L18" i="7"/>
  <c r="G18" i="7"/>
  <c r="K18" i="7"/>
  <c r="O18" i="7"/>
  <c r="R18" i="7"/>
  <c r="S18" i="7"/>
  <c r="T18" i="7"/>
  <c r="U18" i="7"/>
  <c r="W18" i="7"/>
  <c r="V18" i="7"/>
  <c r="X13" i="7"/>
  <c r="Y13" i="7"/>
  <c r="X9" i="7"/>
  <c r="Y9" i="7"/>
  <c r="U13" i="7"/>
  <c r="T13" i="7"/>
  <c r="G9" i="7"/>
  <c r="F9" i="7"/>
  <c r="O9" i="7"/>
  <c r="N9" i="7"/>
  <c r="I9" i="7"/>
  <c r="H9" i="7"/>
  <c r="D21" i="6"/>
  <c r="E21" i="6"/>
  <c r="O21" i="6"/>
  <c r="N21" i="6"/>
  <c r="V7" i="7"/>
  <c r="W7" i="7"/>
  <c r="O7" i="5"/>
  <c r="N7" i="5"/>
  <c r="W11" i="7"/>
  <c r="V11" i="7"/>
  <c r="O9" i="5"/>
  <c r="N9" i="5"/>
  <c r="N17" i="4"/>
  <c r="O17" i="4"/>
  <c r="K15" i="7"/>
  <c r="J15" i="7"/>
  <c r="U9" i="4"/>
  <c r="T9" i="4"/>
  <c r="R17" i="7"/>
  <c r="S17" i="7"/>
  <c r="P17" i="7"/>
  <c r="Q17" i="7"/>
  <c r="S13" i="7"/>
  <c r="R13" i="7"/>
  <c r="S7" i="7"/>
  <c r="R7" i="7"/>
  <c r="J7" i="7"/>
  <c r="K7" i="7"/>
  <c r="E7" i="7"/>
  <c r="D7" i="7"/>
  <c r="F21" i="6"/>
  <c r="G21" i="6"/>
  <c r="N13" i="6"/>
  <c r="O13" i="6"/>
  <c r="N15" i="6"/>
  <c r="O15" i="6"/>
  <c r="O13" i="5"/>
  <c r="N13" i="5"/>
  <c r="P5" i="5"/>
  <c r="R4" i="5"/>
  <c r="P10" i="5"/>
  <c r="P8" i="5"/>
  <c r="Q8" i="5"/>
  <c r="Q10" i="5"/>
  <c r="Q6" i="5"/>
  <c r="P12" i="5"/>
  <c r="P6" i="5"/>
  <c r="Q12" i="5"/>
  <c r="Q14" i="5"/>
  <c r="P14" i="5"/>
  <c r="Q16" i="5"/>
  <c r="P16" i="5"/>
  <c r="P18" i="5"/>
  <c r="Q18" i="5"/>
  <c r="M17" i="4"/>
  <c r="L17" i="4"/>
  <c r="E17" i="4"/>
  <c r="D17" i="4"/>
  <c r="I15" i="7"/>
  <c r="H15" i="7"/>
  <c r="T18" i="4"/>
  <c r="U7" i="4"/>
  <c r="T7" i="4"/>
  <c r="N17" i="7"/>
  <c r="O17" i="7"/>
  <c r="O15" i="7"/>
  <c r="N15" i="7"/>
  <c r="K13" i="7"/>
  <c r="J13" i="7"/>
  <c r="S11" i="7"/>
  <c r="R11" i="7"/>
  <c r="N11" i="7"/>
  <c r="O11" i="7"/>
  <c r="G11" i="7"/>
  <c r="F11" i="7"/>
  <c r="K21" i="6"/>
  <c r="J21" i="6"/>
  <c r="B24" i="6"/>
  <c r="C22" i="6"/>
  <c r="G22" i="6"/>
  <c r="F22" i="6"/>
  <c r="D22" i="6"/>
  <c r="E22" i="6"/>
  <c r="H22" i="6"/>
  <c r="I22" i="6"/>
  <c r="K22" i="6"/>
  <c r="J22" i="6"/>
  <c r="M22" i="6"/>
  <c r="L22" i="6"/>
  <c r="O22" i="6"/>
  <c r="S15" i="7"/>
  <c r="R15" i="7"/>
  <c r="J17" i="7"/>
  <c r="K17" i="7"/>
  <c r="V17" i="7"/>
  <c r="W17" i="7"/>
  <c r="O13" i="7"/>
  <c r="N13" i="7"/>
  <c r="K11" i="7"/>
  <c r="J11" i="7"/>
  <c r="E9" i="7"/>
  <c r="D9" i="7"/>
  <c r="R9" i="7"/>
  <c r="S9" i="7"/>
  <c r="N9" i="6"/>
  <c r="O9" i="6"/>
  <c r="O7" i="6"/>
  <c r="N7" i="6"/>
  <c r="R4" i="6"/>
  <c r="P5" i="6"/>
  <c r="P6" i="6"/>
  <c r="Q20" i="6"/>
  <c r="Q12" i="6"/>
  <c r="Q22" i="6"/>
  <c r="Q18" i="6"/>
  <c r="Q14" i="6"/>
  <c r="P12" i="6"/>
  <c r="P22" i="6"/>
  <c r="Q10" i="6"/>
  <c r="Q6" i="6"/>
  <c r="Q24" i="6"/>
  <c r="Q16" i="6"/>
  <c r="Q8" i="6"/>
  <c r="P10" i="6"/>
  <c r="P24" i="6"/>
  <c r="P16" i="6"/>
  <c r="P14" i="6"/>
  <c r="P8" i="6"/>
  <c r="P20" i="6"/>
  <c r="P18" i="6"/>
  <c r="U18" i="4"/>
  <c r="G15" i="7"/>
  <c r="F15" i="7"/>
  <c r="M17" i="7"/>
  <c r="L17" i="7"/>
  <c r="M15" i="7"/>
  <c r="L15" i="7"/>
  <c r="X11" i="7"/>
  <c r="Y11" i="7"/>
  <c r="V15" i="7"/>
  <c r="W15" i="7"/>
  <c r="L13" i="7"/>
  <c r="M13" i="7"/>
  <c r="E13" i="7"/>
  <c r="D13" i="7"/>
  <c r="Q11" i="7"/>
  <c r="P11" i="7"/>
  <c r="I7" i="7"/>
  <c r="H7" i="7"/>
  <c r="O7" i="7"/>
  <c r="N7" i="7"/>
  <c r="P15" i="7"/>
  <c r="Q15" i="7"/>
  <c r="H21" i="6"/>
  <c r="I21" i="6"/>
  <c r="Q21" i="5"/>
  <c r="P21" i="5"/>
  <c r="K21" i="5"/>
  <c r="J21" i="5"/>
  <c r="G21" i="5"/>
  <c r="F21" i="5"/>
  <c r="C22" i="5"/>
  <c r="O22" i="5"/>
  <c r="E22" i="5"/>
  <c r="G22" i="5"/>
  <c r="I22" i="5"/>
  <c r="Q22" i="5"/>
  <c r="B24" i="5"/>
  <c r="D22" i="5"/>
  <c r="H22" i="5"/>
  <c r="F22" i="5"/>
  <c r="J22" i="5"/>
  <c r="L22" i="5"/>
  <c r="N22" i="5"/>
  <c r="K22" i="5"/>
  <c r="M22" i="5"/>
  <c r="P22" i="5"/>
  <c r="R22" i="5"/>
  <c r="S22" i="5"/>
  <c r="L21" i="5"/>
  <c r="M21" i="5"/>
  <c r="D21" i="5"/>
  <c r="E21" i="5"/>
  <c r="H21" i="5"/>
  <c r="I21" i="5"/>
  <c r="N21" i="5"/>
  <c r="O21" i="5"/>
  <c r="W21" i="4" l="1"/>
  <c r="V21" i="4"/>
  <c r="P9" i="6"/>
  <c r="Q9" i="6"/>
  <c r="P19" i="6"/>
  <c r="Q19" i="6"/>
  <c r="Q11" i="5"/>
  <c r="P11" i="5"/>
  <c r="F19" i="7"/>
  <c r="G19" i="7"/>
  <c r="M19" i="7"/>
  <c r="L19" i="7"/>
  <c r="O19" i="4"/>
  <c r="N19" i="4"/>
  <c r="E19" i="4"/>
  <c r="D19" i="4"/>
  <c r="P17" i="6"/>
  <c r="Q17" i="6"/>
  <c r="Q23" i="6"/>
  <c r="P23" i="6"/>
  <c r="E23" i="6"/>
  <c r="D23" i="6"/>
  <c r="P17" i="5"/>
  <c r="Q17" i="5"/>
  <c r="Q9" i="5"/>
  <c r="P9" i="5"/>
  <c r="W19" i="7"/>
  <c r="V19" i="7"/>
  <c r="W7" i="4"/>
  <c r="V7" i="4"/>
  <c r="V17" i="4"/>
  <c r="W17" i="4"/>
  <c r="P25" i="6"/>
  <c r="Q25" i="6"/>
  <c r="Q13" i="6"/>
  <c r="P13" i="6"/>
  <c r="N23" i="6"/>
  <c r="O23" i="6"/>
  <c r="T19" i="7"/>
  <c r="U19" i="7"/>
  <c r="W11" i="4"/>
  <c r="V11" i="4"/>
  <c r="W9" i="4"/>
  <c r="V9" i="4"/>
  <c r="X19" i="7"/>
  <c r="Y19" i="7"/>
  <c r="I19" i="4"/>
  <c r="H19" i="4"/>
  <c r="T4" i="6"/>
  <c r="R5" i="6"/>
  <c r="S6" i="6"/>
  <c r="S22" i="6"/>
  <c r="S12" i="6"/>
  <c r="S18" i="6"/>
  <c r="R10" i="6"/>
  <c r="S8" i="6"/>
  <c r="S24" i="6"/>
  <c r="R18" i="6"/>
  <c r="S14" i="6"/>
  <c r="S20" i="6"/>
  <c r="S10" i="6"/>
  <c r="S16" i="6"/>
  <c r="R20" i="6"/>
  <c r="R6" i="6"/>
  <c r="R12" i="6"/>
  <c r="R16" i="6"/>
  <c r="R14" i="6"/>
  <c r="R24" i="6"/>
  <c r="R8" i="6"/>
  <c r="R22" i="6"/>
  <c r="Q7" i="5"/>
  <c r="P7" i="5"/>
  <c r="Q7" i="6"/>
  <c r="P7" i="6"/>
  <c r="Q15" i="5"/>
  <c r="P15" i="5"/>
  <c r="V19" i="4"/>
  <c r="W19" i="4"/>
  <c r="S19" i="4"/>
  <c r="R19" i="4"/>
  <c r="M19" i="4"/>
  <c r="L19" i="4"/>
  <c r="C20" i="4"/>
  <c r="B22" i="4"/>
  <c r="E20" i="4"/>
  <c r="D20" i="4"/>
  <c r="K20" i="4"/>
  <c r="I20" i="4"/>
  <c r="H20" i="4"/>
  <c r="G20" i="4"/>
  <c r="M20" i="4"/>
  <c r="F20" i="4"/>
  <c r="J20" i="4"/>
  <c r="L20" i="4"/>
  <c r="N20" i="4"/>
  <c r="O20" i="4"/>
  <c r="P20" i="4"/>
  <c r="Q20" i="4"/>
  <c r="R20" i="4"/>
  <c r="S20" i="4"/>
  <c r="U20" i="4"/>
  <c r="T20" i="4"/>
  <c r="P11" i="6"/>
  <c r="Q11" i="6"/>
  <c r="P21" i="6"/>
  <c r="Q21" i="6"/>
  <c r="L23" i="6"/>
  <c r="M23" i="6"/>
  <c r="F23" i="6"/>
  <c r="G23" i="6"/>
  <c r="Q13" i="5"/>
  <c r="P13" i="5"/>
  <c r="T4" i="5"/>
  <c r="R5" i="5"/>
  <c r="S10" i="5"/>
  <c r="S8" i="5"/>
  <c r="S6" i="5"/>
  <c r="R6" i="5"/>
  <c r="R8" i="5"/>
  <c r="S12" i="5"/>
  <c r="R10" i="5"/>
  <c r="R12" i="5"/>
  <c r="S14" i="5"/>
  <c r="R14" i="5"/>
  <c r="R16" i="5"/>
  <c r="S16" i="5"/>
  <c r="R18" i="5"/>
  <c r="S18" i="5"/>
  <c r="S20" i="5"/>
  <c r="R20" i="5"/>
  <c r="R19" i="7"/>
  <c r="S19" i="7"/>
  <c r="P19" i="7"/>
  <c r="Q19" i="7"/>
  <c r="B22" i="7"/>
  <c r="C20" i="7"/>
  <c r="N20" i="7"/>
  <c r="J20" i="7"/>
  <c r="P20" i="7"/>
  <c r="D20" i="7"/>
  <c r="M20" i="7"/>
  <c r="K20" i="7"/>
  <c r="E20" i="7"/>
  <c r="Q20" i="7"/>
  <c r="I20" i="7"/>
  <c r="H20" i="7"/>
  <c r="R20" i="7"/>
  <c r="F20" i="7"/>
  <c r="G20" i="7"/>
  <c r="O20" i="7"/>
  <c r="S20" i="7"/>
  <c r="L20" i="7"/>
  <c r="T20" i="7"/>
  <c r="U20" i="7"/>
  <c r="W20" i="7"/>
  <c r="V20" i="7"/>
  <c r="X20" i="7"/>
  <c r="Y20" i="7"/>
  <c r="W15" i="4"/>
  <c r="V15" i="4"/>
  <c r="X5" i="4"/>
  <c r="Y20" i="4"/>
  <c r="Y16" i="4"/>
  <c r="Y6" i="4"/>
  <c r="Y10" i="4"/>
  <c r="Y18" i="4"/>
  <c r="Y14" i="4"/>
  <c r="Y22" i="4"/>
  <c r="Y12" i="4"/>
  <c r="Y8" i="4"/>
  <c r="X10" i="4"/>
  <c r="X6" i="4"/>
  <c r="X22" i="4"/>
  <c r="X14" i="4"/>
  <c r="X20" i="4"/>
  <c r="X12" i="4"/>
  <c r="X8" i="4"/>
  <c r="X18" i="4"/>
  <c r="X16" i="4"/>
  <c r="U19" i="4"/>
  <c r="T19" i="4"/>
  <c r="H23" i="6"/>
  <c r="I23" i="6"/>
  <c r="H19" i="7"/>
  <c r="I19" i="7"/>
  <c r="V13" i="4"/>
  <c r="W13" i="4"/>
  <c r="Q19" i="4"/>
  <c r="P19" i="4"/>
  <c r="K19" i="4"/>
  <c r="J19" i="4"/>
  <c r="P15" i="6"/>
  <c r="Q15" i="6"/>
  <c r="K19" i="7"/>
  <c r="J19" i="7"/>
  <c r="F19" i="4"/>
  <c r="G19" i="4"/>
  <c r="J23" i="6"/>
  <c r="K23" i="6"/>
  <c r="B26" i="6"/>
  <c r="S26" i="6" s="1"/>
  <c r="C24" i="6"/>
  <c r="E24" i="6"/>
  <c r="F24" i="6"/>
  <c r="D24" i="6"/>
  <c r="G24" i="6"/>
  <c r="H24" i="6"/>
  <c r="I24" i="6"/>
  <c r="K24" i="6"/>
  <c r="J24" i="6"/>
  <c r="M24" i="6"/>
  <c r="L24" i="6"/>
  <c r="N24" i="6"/>
  <c r="O24" i="6"/>
  <c r="P19" i="5"/>
  <c r="Q19" i="5"/>
  <c r="N19" i="7"/>
  <c r="O19" i="7"/>
  <c r="D19" i="7"/>
  <c r="E19" i="7"/>
  <c r="L23" i="5"/>
  <c r="M23" i="5"/>
  <c r="B26" i="5"/>
  <c r="D24" i="5"/>
  <c r="F24" i="5"/>
  <c r="L24" i="5"/>
  <c r="K24" i="5"/>
  <c r="G24" i="5"/>
  <c r="I24" i="5"/>
  <c r="M24" i="5"/>
  <c r="Q24" i="5"/>
  <c r="P24" i="5"/>
  <c r="C24" i="5"/>
  <c r="H24" i="5"/>
  <c r="J24" i="5"/>
  <c r="N24" i="5"/>
  <c r="O24" i="5"/>
  <c r="E24" i="5"/>
  <c r="R24" i="5"/>
  <c r="S24" i="5"/>
  <c r="U24" i="5"/>
  <c r="T24" i="5"/>
  <c r="I23" i="5"/>
  <c r="H23" i="5"/>
  <c r="E23" i="5"/>
  <c r="D23" i="5"/>
  <c r="S23" i="5"/>
  <c r="R23" i="5"/>
  <c r="J23" i="5"/>
  <c r="K23" i="5"/>
  <c r="Q23" i="5"/>
  <c r="P23" i="5"/>
  <c r="G23" i="5"/>
  <c r="F23" i="5"/>
  <c r="N23" i="5"/>
  <c r="O23" i="5"/>
  <c r="L25" i="6" l="1"/>
  <c r="M25" i="6"/>
  <c r="S17" i="5"/>
  <c r="R17" i="5"/>
  <c r="Y11" i="4"/>
  <c r="X11" i="4"/>
  <c r="G21" i="7"/>
  <c r="F21" i="7"/>
  <c r="M21" i="7"/>
  <c r="L21" i="7"/>
  <c r="S7" i="5"/>
  <c r="R7" i="5"/>
  <c r="T21" i="4"/>
  <c r="U21" i="4"/>
  <c r="E21" i="4"/>
  <c r="D21" i="4"/>
  <c r="R19" i="6"/>
  <c r="S19" i="6"/>
  <c r="J25" i="6"/>
  <c r="K25" i="6"/>
  <c r="C26" i="6"/>
  <c r="G26" i="6"/>
  <c r="E26" i="6"/>
  <c r="F26" i="6"/>
  <c r="H26" i="6"/>
  <c r="D26" i="6"/>
  <c r="I26" i="6"/>
  <c r="K26" i="6"/>
  <c r="J26" i="6"/>
  <c r="L26" i="6"/>
  <c r="M26" i="6"/>
  <c r="N26" i="6"/>
  <c r="O26" i="6"/>
  <c r="Q26" i="6"/>
  <c r="P26" i="6"/>
  <c r="X9" i="4"/>
  <c r="Y9" i="4"/>
  <c r="Y7" i="4"/>
  <c r="X7" i="4"/>
  <c r="S9" i="5"/>
  <c r="R9" i="5"/>
  <c r="R21" i="4"/>
  <c r="S21" i="4"/>
  <c r="C22" i="4"/>
  <c r="B24" i="4"/>
  <c r="K22" i="4"/>
  <c r="E22" i="4"/>
  <c r="L22" i="4"/>
  <c r="D22" i="4"/>
  <c r="M22" i="4"/>
  <c r="G22" i="4"/>
  <c r="I22" i="4"/>
  <c r="H22" i="4"/>
  <c r="F22" i="4"/>
  <c r="J22" i="4"/>
  <c r="O22" i="4"/>
  <c r="N22" i="4"/>
  <c r="P22" i="4"/>
  <c r="Q22" i="4"/>
  <c r="R22" i="4"/>
  <c r="S22" i="4"/>
  <c r="U22" i="4"/>
  <c r="T22" i="4"/>
  <c r="V22" i="4"/>
  <c r="W22" i="4"/>
  <c r="R11" i="6"/>
  <c r="S11" i="6"/>
  <c r="R13" i="6"/>
  <c r="S13" i="6"/>
  <c r="X21" i="7"/>
  <c r="Y21" i="7"/>
  <c r="H25" i="6"/>
  <c r="I25" i="6"/>
  <c r="Y13" i="4"/>
  <c r="X13" i="4"/>
  <c r="Y17" i="4"/>
  <c r="X17" i="4"/>
  <c r="V21" i="7"/>
  <c r="W21" i="7"/>
  <c r="R15" i="5"/>
  <c r="S15" i="5"/>
  <c r="S11" i="5"/>
  <c r="R11" i="5"/>
  <c r="L21" i="4"/>
  <c r="M21" i="4"/>
  <c r="R21" i="6"/>
  <c r="S21" i="6"/>
  <c r="R23" i="6"/>
  <c r="S23" i="6"/>
  <c r="Y21" i="4"/>
  <c r="X21" i="4"/>
  <c r="U21" i="7"/>
  <c r="T21" i="7"/>
  <c r="Q21" i="4"/>
  <c r="P21" i="4"/>
  <c r="F21" i="4"/>
  <c r="G21" i="4"/>
  <c r="S15" i="6"/>
  <c r="R15" i="6"/>
  <c r="R7" i="6"/>
  <c r="S7" i="6"/>
  <c r="D25" i="6"/>
  <c r="E25" i="6"/>
  <c r="O25" i="6"/>
  <c r="N25" i="6"/>
  <c r="F25" i="6"/>
  <c r="G25" i="6"/>
  <c r="Y23" i="4"/>
  <c r="X23" i="4"/>
  <c r="I21" i="7"/>
  <c r="H21" i="7"/>
  <c r="R21" i="5"/>
  <c r="S21" i="5"/>
  <c r="T5" i="5"/>
  <c r="V4" i="5"/>
  <c r="U8" i="5"/>
  <c r="U6" i="5"/>
  <c r="U10" i="5"/>
  <c r="T10" i="5"/>
  <c r="T8" i="5"/>
  <c r="T6" i="5"/>
  <c r="U12" i="5"/>
  <c r="T12" i="5"/>
  <c r="U14" i="5"/>
  <c r="T14" i="5"/>
  <c r="T16" i="5"/>
  <c r="U16" i="5"/>
  <c r="T18" i="5"/>
  <c r="U18" i="5"/>
  <c r="U20" i="5"/>
  <c r="T20" i="5"/>
  <c r="U22" i="5"/>
  <c r="T22" i="5"/>
  <c r="R26" i="6"/>
  <c r="S27" i="6" s="1"/>
  <c r="O21" i="7"/>
  <c r="N21" i="7"/>
  <c r="R17" i="6"/>
  <c r="S17" i="6"/>
  <c r="X15" i="4"/>
  <c r="Y15" i="4"/>
  <c r="P21" i="7"/>
  <c r="Q21" i="7"/>
  <c r="S19" i="5"/>
  <c r="R19" i="5"/>
  <c r="S13" i="5"/>
  <c r="R13" i="5"/>
  <c r="O21" i="4"/>
  <c r="N21" i="4"/>
  <c r="H21" i="4"/>
  <c r="I21" i="4"/>
  <c r="R25" i="6"/>
  <c r="S25" i="6"/>
  <c r="K21" i="7"/>
  <c r="J21" i="7"/>
  <c r="Y19" i="4"/>
  <c r="X19" i="4"/>
  <c r="S21" i="7"/>
  <c r="R21" i="7"/>
  <c r="E21" i="7"/>
  <c r="D21" i="7"/>
  <c r="B24" i="7"/>
  <c r="C22" i="7"/>
  <c r="H22" i="7"/>
  <c r="L22" i="7"/>
  <c r="M22" i="7"/>
  <c r="J22" i="7"/>
  <c r="N22" i="7"/>
  <c r="P22" i="7"/>
  <c r="F22" i="7"/>
  <c r="E22" i="7"/>
  <c r="G22" i="7"/>
  <c r="I22" i="7"/>
  <c r="K22" i="7"/>
  <c r="O22" i="7"/>
  <c r="Q22" i="7"/>
  <c r="D22" i="7"/>
  <c r="R22" i="7"/>
  <c r="S22" i="7"/>
  <c r="T22" i="7"/>
  <c r="U22" i="7"/>
  <c r="V22" i="7"/>
  <c r="W22" i="7"/>
  <c r="X22" i="7"/>
  <c r="Y22" i="7"/>
  <c r="K21" i="4"/>
  <c r="J21" i="4"/>
  <c r="R9" i="6"/>
  <c r="S9" i="6"/>
  <c r="T5" i="6"/>
  <c r="V4" i="6"/>
  <c r="U22" i="6"/>
  <c r="U8" i="6"/>
  <c r="T16" i="6"/>
  <c r="U14" i="6"/>
  <c r="U10" i="6"/>
  <c r="U6" i="6"/>
  <c r="U24" i="6"/>
  <c r="U20" i="6"/>
  <c r="U18" i="6"/>
  <c r="U16" i="6"/>
  <c r="U12" i="6"/>
  <c r="T10" i="6"/>
  <c r="U26" i="6"/>
  <c r="T26" i="6"/>
  <c r="T20" i="6"/>
  <c r="T22" i="6"/>
  <c r="T14" i="6"/>
  <c r="T6" i="6"/>
  <c r="T8" i="6"/>
  <c r="T18" i="6"/>
  <c r="T24" i="6"/>
  <c r="T12" i="6"/>
  <c r="S25" i="5"/>
  <c r="R25" i="5"/>
  <c r="O25" i="5"/>
  <c r="N25" i="5"/>
  <c r="P25" i="5"/>
  <c r="Q25" i="5"/>
  <c r="H25" i="5"/>
  <c r="I25" i="5"/>
  <c r="K25" i="5"/>
  <c r="J25" i="5"/>
  <c r="C26" i="5"/>
  <c r="D26" i="5"/>
  <c r="F26" i="5"/>
  <c r="J26" i="5"/>
  <c r="N26" i="5"/>
  <c r="O26" i="5"/>
  <c r="I26" i="5"/>
  <c r="H26" i="5"/>
  <c r="L26" i="5"/>
  <c r="E26" i="5"/>
  <c r="G26" i="5"/>
  <c r="K26" i="5"/>
  <c r="M26" i="5"/>
  <c r="Q26" i="5"/>
  <c r="P26" i="5"/>
  <c r="S26" i="5"/>
  <c r="U26" i="5"/>
  <c r="T26" i="5"/>
  <c r="W26" i="5"/>
  <c r="R26" i="5"/>
  <c r="V26" i="5"/>
  <c r="T25" i="5"/>
  <c r="U25" i="5"/>
  <c r="E25" i="5"/>
  <c r="D25" i="5"/>
  <c r="L25" i="5"/>
  <c r="M25" i="5"/>
  <c r="G25" i="5"/>
  <c r="F25" i="5"/>
  <c r="T21" i="6" l="1"/>
  <c r="U21" i="6"/>
  <c r="U25" i="6"/>
  <c r="T25" i="6"/>
  <c r="K23" i="7"/>
  <c r="J23" i="7"/>
  <c r="M23" i="7"/>
  <c r="L23" i="7"/>
  <c r="U7" i="5"/>
  <c r="T7" i="5"/>
  <c r="R23" i="4"/>
  <c r="S23" i="4"/>
  <c r="C24" i="4"/>
  <c r="B26" i="4"/>
  <c r="G24" i="4"/>
  <c r="D24" i="4"/>
  <c r="H24" i="4"/>
  <c r="E24" i="4"/>
  <c r="I24" i="4"/>
  <c r="K24" i="4"/>
  <c r="J24" i="4"/>
  <c r="L24" i="4"/>
  <c r="M24" i="4"/>
  <c r="F24" i="4"/>
  <c r="O24" i="4"/>
  <c r="N24" i="4"/>
  <c r="P24" i="4"/>
  <c r="Q24" i="4"/>
  <c r="R24" i="4"/>
  <c r="S24" i="4"/>
  <c r="U24" i="4"/>
  <c r="T24" i="4"/>
  <c r="W24" i="4"/>
  <c r="V24" i="4"/>
  <c r="X24" i="4"/>
  <c r="Y24" i="4"/>
  <c r="U23" i="4"/>
  <c r="T23" i="4"/>
  <c r="G27" i="6"/>
  <c r="F27" i="6"/>
  <c r="T7" i="6"/>
  <c r="U7" i="6"/>
  <c r="T23" i="7"/>
  <c r="U23" i="7"/>
  <c r="H23" i="7"/>
  <c r="I23" i="7"/>
  <c r="U23" i="5"/>
  <c r="T23" i="5"/>
  <c r="U15" i="5"/>
  <c r="T15" i="5"/>
  <c r="U9" i="5"/>
  <c r="T9" i="5"/>
  <c r="H23" i="4"/>
  <c r="I23" i="4"/>
  <c r="J27" i="6"/>
  <c r="K27" i="6"/>
  <c r="V5" i="6"/>
  <c r="X4" i="6"/>
  <c r="W8" i="6"/>
  <c r="W26" i="6"/>
  <c r="W20" i="6"/>
  <c r="V12" i="6"/>
  <c r="W10" i="6"/>
  <c r="W16" i="6"/>
  <c r="V22" i="6"/>
  <c r="W6" i="6"/>
  <c r="W22" i="6"/>
  <c r="W12" i="6"/>
  <c r="W18" i="6"/>
  <c r="W24" i="6"/>
  <c r="W14" i="6"/>
  <c r="V16" i="6"/>
  <c r="V6" i="6"/>
  <c r="V18" i="6"/>
  <c r="V8" i="6"/>
  <c r="V24" i="6"/>
  <c r="V26" i="6"/>
  <c r="V14" i="6"/>
  <c r="V10" i="6"/>
  <c r="V20" i="6"/>
  <c r="T27" i="6"/>
  <c r="U27" i="6"/>
  <c r="T11" i="6"/>
  <c r="U11" i="6"/>
  <c r="F23" i="7"/>
  <c r="G23" i="7"/>
  <c r="V5" i="5"/>
  <c r="X4" i="5"/>
  <c r="W8" i="5"/>
  <c r="W6" i="5"/>
  <c r="W10" i="5"/>
  <c r="V10" i="5"/>
  <c r="V6" i="5"/>
  <c r="V8" i="5"/>
  <c r="W12" i="5"/>
  <c r="V12" i="5"/>
  <c r="W14" i="5"/>
  <c r="V14" i="5"/>
  <c r="W16" i="5"/>
  <c r="V16" i="5"/>
  <c r="W18" i="5"/>
  <c r="V18" i="5"/>
  <c r="W20" i="5"/>
  <c r="V20" i="5"/>
  <c r="V22" i="5"/>
  <c r="W22" i="5"/>
  <c r="W24" i="5"/>
  <c r="V24" i="5"/>
  <c r="Q23" i="4"/>
  <c r="P23" i="4"/>
  <c r="F23" i="4"/>
  <c r="G23" i="4"/>
  <c r="I27" i="6"/>
  <c r="H27" i="6"/>
  <c r="U11" i="5"/>
  <c r="T11" i="5"/>
  <c r="T15" i="6"/>
  <c r="U15" i="6"/>
  <c r="R23" i="7"/>
  <c r="S23" i="7"/>
  <c r="D23" i="7"/>
  <c r="E23" i="7"/>
  <c r="U21" i="5"/>
  <c r="T21" i="5"/>
  <c r="U13" i="5"/>
  <c r="T13" i="5"/>
  <c r="M23" i="4"/>
  <c r="L23" i="4"/>
  <c r="P27" i="6"/>
  <c r="Q27" i="6"/>
  <c r="K23" i="4"/>
  <c r="J23" i="4"/>
  <c r="T13" i="6"/>
  <c r="U13" i="6"/>
  <c r="C24" i="7"/>
  <c r="B26" i="7"/>
  <c r="S24" i="7"/>
  <c r="L24" i="7"/>
  <c r="E24" i="7"/>
  <c r="H24" i="7"/>
  <c r="P24" i="7"/>
  <c r="O24" i="7"/>
  <c r="F24" i="7"/>
  <c r="J24" i="7"/>
  <c r="N24" i="7"/>
  <c r="I24" i="7"/>
  <c r="K24" i="7"/>
  <c r="D24" i="7"/>
  <c r="R24" i="7"/>
  <c r="G24" i="7"/>
  <c r="Q24" i="7"/>
  <c r="M24" i="7"/>
  <c r="U24" i="7"/>
  <c r="T24" i="7"/>
  <c r="V24" i="7"/>
  <c r="W24" i="7"/>
  <c r="X24" i="7"/>
  <c r="Y24" i="7"/>
  <c r="U19" i="5"/>
  <c r="T19" i="5"/>
  <c r="V23" i="4"/>
  <c r="W23" i="4"/>
  <c r="N27" i="6"/>
  <c r="O27" i="6"/>
  <c r="W23" i="7"/>
  <c r="V23" i="7"/>
  <c r="T17" i="6"/>
  <c r="U17" i="6"/>
  <c r="U9" i="6"/>
  <c r="T9" i="6"/>
  <c r="X23" i="7"/>
  <c r="Y23" i="7"/>
  <c r="O23" i="4"/>
  <c r="N23" i="4"/>
  <c r="R27" i="6"/>
  <c r="N23" i="7"/>
  <c r="O23" i="7"/>
  <c r="U19" i="6"/>
  <c r="T19" i="6"/>
  <c r="T23" i="6"/>
  <c r="U23" i="6"/>
  <c r="P23" i="7"/>
  <c r="Q23" i="7"/>
  <c r="U17" i="5"/>
  <c r="T17" i="5"/>
  <c r="E23" i="4"/>
  <c r="D23" i="4"/>
  <c r="L27" i="6"/>
  <c r="M27" i="6"/>
  <c r="E27" i="6"/>
  <c r="D27" i="6"/>
  <c r="W27" i="5"/>
  <c r="V27" i="5"/>
  <c r="U27" i="5"/>
  <c r="T27" i="5"/>
  <c r="L27" i="5"/>
  <c r="M27" i="5"/>
  <c r="F27" i="5"/>
  <c r="G27" i="5"/>
  <c r="I27" i="5"/>
  <c r="H27" i="5"/>
  <c r="S27" i="5"/>
  <c r="R27" i="5"/>
  <c r="Q27" i="5"/>
  <c r="P27" i="5"/>
  <c r="J27" i="5"/>
  <c r="K27" i="5"/>
  <c r="D27" i="5"/>
  <c r="E27" i="5"/>
  <c r="O27" i="5"/>
  <c r="N27" i="5"/>
  <c r="Q25" i="7" l="1"/>
  <c r="P25" i="7"/>
  <c r="V21" i="5"/>
  <c r="W21" i="5"/>
  <c r="V13" i="5"/>
  <c r="W13" i="5"/>
  <c r="W15" i="6"/>
  <c r="V15" i="6"/>
  <c r="V11" i="6"/>
  <c r="W11" i="6"/>
  <c r="U25" i="4"/>
  <c r="T25" i="4"/>
  <c r="L25" i="4"/>
  <c r="M25" i="4"/>
  <c r="F25" i="4"/>
  <c r="G25" i="4"/>
  <c r="C26" i="7"/>
  <c r="H26" i="7"/>
  <c r="D26" i="7"/>
  <c r="N26" i="7"/>
  <c r="P26" i="7"/>
  <c r="M26" i="7"/>
  <c r="F26" i="7"/>
  <c r="J26" i="7"/>
  <c r="G26" i="7"/>
  <c r="L26" i="7"/>
  <c r="I26" i="7"/>
  <c r="K26" i="7"/>
  <c r="E26" i="7"/>
  <c r="R26" i="7"/>
  <c r="O26" i="7"/>
  <c r="Q26" i="7"/>
  <c r="S26" i="7"/>
  <c r="U26" i="7"/>
  <c r="T26" i="7"/>
  <c r="W26" i="7"/>
  <c r="V26" i="7"/>
  <c r="X26" i="7"/>
  <c r="Y26" i="7"/>
  <c r="X5" i="5"/>
  <c r="Y8" i="5"/>
  <c r="Y10" i="5"/>
  <c r="Y6" i="5"/>
  <c r="X8" i="5"/>
  <c r="X10" i="5"/>
  <c r="X6" i="5"/>
  <c r="X12" i="5"/>
  <c r="Y12" i="5"/>
  <c r="X14" i="5"/>
  <c r="Y14" i="5"/>
  <c r="Y16" i="5"/>
  <c r="X16" i="5"/>
  <c r="Y18" i="5"/>
  <c r="X18" i="5"/>
  <c r="Y20" i="5"/>
  <c r="X20" i="5"/>
  <c r="X22" i="5"/>
  <c r="Y22" i="5"/>
  <c r="Y24" i="5"/>
  <c r="X24" i="5"/>
  <c r="X26" i="5"/>
  <c r="Y26" i="5"/>
  <c r="X25" i="7"/>
  <c r="Y25" i="7"/>
  <c r="F25" i="7"/>
  <c r="G25" i="7"/>
  <c r="N25" i="7"/>
  <c r="O25" i="7"/>
  <c r="V25" i="6"/>
  <c r="W25" i="6"/>
  <c r="S25" i="4"/>
  <c r="R25" i="4"/>
  <c r="C26" i="4"/>
  <c r="E26" i="4"/>
  <c r="I26" i="4"/>
  <c r="K26" i="4"/>
  <c r="D26" i="4"/>
  <c r="H26" i="4"/>
  <c r="G26" i="4"/>
  <c r="M26" i="4"/>
  <c r="J26" i="4"/>
  <c r="L26" i="4"/>
  <c r="F26" i="4"/>
  <c r="N26" i="4"/>
  <c r="O26" i="4"/>
  <c r="P26" i="4"/>
  <c r="Q26" i="4"/>
  <c r="S26" i="4"/>
  <c r="R26" i="4"/>
  <c r="T26" i="4"/>
  <c r="U26" i="4"/>
  <c r="W26" i="4"/>
  <c r="V26" i="4"/>
  <c r="Y26" i="4"/>
  <c r="X26" i="4"/>
  <c r="W19" i="5"/>
  <c r="V19" i="5"/>
  <c r="W19" i="6"/>
  <c r="V19" i="6"/>
  <c r="V21" i="6"/>
  <c r="W21" i="6"/>
  <c r="L25" i="7"/>
  <c r="M25" i="7"/>
  <c r="V25" i="7"/>
  <c r="W25" i="7"/>
  <c r="V13" i="6"/>
  <c r="W13" i="6"/>
  <c r="V27" i="6"/>
  <c r="W27" i="6"/>
  <c r="X25" i="4"/>
  <c r="Y25" i="4"/>
  <c r="Q25" i="4"/>
  <c r="P25" i="4"/>
  <c r="K25" i="4"/>
  <c r="J25" i="4"/>
  <c r="K25" i="7"/>
  <c r="J25" i="7"/>
  <c r="D25" i="7"/>
  <c r="E25" i="7"/>
  <c r="V25" i="5"/>
  <c r="W25" i="5"/>
  <c r="V17" i="5"/>
  <c r="W17" i="5"/>
  <c r="W11" i="5"/>
  <c r="V11" i="5"/>
  <c r="V23" i="6"/>
  <c r="W23" i="6"/>
  <c r="W9" i="6"/>
  <c r="V9" i="6"/>
  <c r="I25" i="4"/>
  <c r="H25" i="4"/>
  <c r="V17" i="6"/>
  <c r="W17" i="6"/>
  <c r="H25" i="7"/>
  <c r="I25" i="7"/>
  <c r="W23" i="5"/>
  <c r="V23" i="5"/>
  <c r="W7" i="5"/>
  <c r="V7" i="5"/>
  <c r="V7" i="6"/>
  <c r="W7" i="6"/>
  <c r="X5" i="6"/>
  <c r="Y12" i="6"/>
  <c r="Y22" i="6"/>
  <c r="Y14" i="6"/>
  <c r="Y24" i="6"/>
  <c r="Y10" i="6"/>
  <c r="Y18" i="6"/>
  <c r="Y20" i="6"/>
  <c r="Y6" i="6"/>
  <c r="X16" i="6"/>
  <c r="Y26" i="6"/>
  <c r="X22" i="6"/>
  <c r="Y16" i="6"/>
  <c r="X6" i="6"/>
  <c r="Y8" i="6"/>
  <c r="X24" i="6"/>
  <c r="X12" i="6"/>
  <c r="X14" i="6"/>
  <c r="X10" i="6"/>
  <c r="X8" i="6"/>
  <c r="X20" i="6"/>
  <c r="X18" i="6"/>
  <c r="X26" i="6"/>
  <c r="E25" i="4"/>
  <c r="D25" i="4"/>
  <c r="T25" i="7"/>
  <c r="U25" i="7"/>
  <c r="S25" i="7"/>
  <c r="R25" i="7"/>
  <c r="W15" i="5"/>
  <c r="V15" i="5"/>
  <c r="W9" i="5"/>
  <c r="V9" i="5"/>
  <c r="V25" i="4"/>
  <c r="W25" i="4"/>
  <c r="O25" i="4"/>
  <c r="N25" i="4"/>
  <c r="X27" i="6" l="1"/>
  <c r="Y27" i="6"/>
  <c r="X13" i="6"/>
  <c r="Y13" i="6"/>
  <c r="P27" i="4"/>
  <c r="Q27" i="4"/>
  <c r="G27" i="4"/>
  <c r="F27" i="4"/>
  <c r="X21" i="5"/>
  <c r="Y21" i="5"/>
  <c r="X27" i="7"/>
  <c r="Y27" i="7"/>
  <c r="O27" i="7"/>
  <c r="N27" i="7"/>
  <c r="M27" i="4"/>
  <c r="L27" i="4"/>
  <c r="Q27" i="7"/>
  <c r="P27" i="7"/>
  <c r="X7" i="6"/>
  <c r="Y7" i="6"/>
  <c r="Y27" i="4"/>
  <c r="X27" i="4"/>
  <c r="X27" i="5"/>
  <c r="Y27" i="5"/>
  <c r="L27" i="7"/>
  <c r="M27" i="7"/>
  <c r="X23" i="6"/>
  <c r="Y23" i="6"/>
  <c r="X21" i="6"/>
  <c r="Y21" i="6"/>
  <c r="N27" i="4"/>
  <c r="O27" i="4"/>
  <c r="X19" i="5"/>
  <c r="Y19" i="5"/>
  <c r="D27" i="7"/>
  <c r="E27" i="7"/>
  <c r="X9" i="6"/>
  <c r="Y9" i="6"/>
  <c r="X19" i="6"/>
  <c r="Y19" i="6"/>
  <c r="W27" i="4"/>
  <c r="V27" i="4"/>
  <c r="K27" i="4"/>
  <c r="J27" i="4"/>
  <c r="W27" i="7"/>
  <c r="V27" i="7"/>
  <c r="K27" i="7"/>
  <c r="J27" i="7"/>
  <c r="X11" i="6"/>
  <c r="Y11" i="6"/>
  <c r="T27" i="4"/>
  <c r="U27" i="4"/>
  <c r="I27" i="4"/>
  <c r="H27" i="4"/>
  <c r="X25" i="5"/>
  <c r="Y25" i="5"/>
  <c r="Y17" i="5"/>
  <c r="X17" i="5"/>
  <c r="Y7" i="5"/>
  <c r="X7" i="5"/>
  <c r="I27" i="7"/>
  <c r="H27" i="7"/>
  <c r="Y17" i="6"/>
  <c r="X17" i="6"/>
  <c r="X25" i="6"/>
  <c r="Y25" i="6"/>
  <c r="E27" i="4"/>
  <c r="D27" i="4"/>
  <c r="X23" i="5"/>
  <c r="Y23" i="5"/>
  <c r="X15" i="5"/>
  <c r="Y15" i="5"/>
  <c r="Y11" i="5"/>
  <c r="X11" i="5"/>
  <c r="T27" i="7"/>
  <c r="U27" i="7"/>
  <c r="S27" i="4"/>
  <c r="R27" i="4"/>
  <c r="X13" i="5"/>
  <c r="Y13" i="5"/>
  <c r="Y15" i="6"/>
  <c r="X15" i="6"/>
  <c r="Y9" i="5"/>
  <c r="X9" i="5"/>
  <c r="S27" i="7"/>
  <c r="R27" i="7"/>
  <c r="G27" i="7"/>
  <c r="F27" i="7"/>
</calcChain>
</file>

<file path=xl/sharedStrings.xml><?xml version="1.0" encoding="utf-8"?>
<sst xmlns="http://schemas.openxmlformats.org/spreadsheetml/2006/main" count="72" uniqueCount="30">
  <si>
    <t>Initial Course</t>
  </si>
  <si>
    <t>Next Course</t>
  </si>
  <si>
    <t>Turn Radius</t>
  </si>
  <si>
    <t>Reference Point Distance</t>
  </si>
  <si>
    <t>Reference Point Bearing</t>
  </si>
  <si>
    <t>Course Change</t>
  </si>
  <si>
    <t>to Starboard</t>
  </si>
  <si>
    <t>to Port</t>
  </si>
  <si>
    <t>half course change</t>
  </si>
  <si>
    <t>Bisector</t>
  </si>
  <si>
    <t>t</t>
  </si>
  <si>
    <t>TR</t>
  </si>
  <si>
    <t>TB</t>
  </si>
  <si>
    <t>RPD</t>
  </si>
  <si>
    <t>RPB</t>
  </si>
  <si>
    <t>TS - TC</t>
  </si>
  <si>
    <t>Tc - RP</t>
  </si>
  <si>
    <t>Name of Turn</t>
  </si>
  <si>
    <t>Initial Drift Angle</t>
  </si>
  <si>
    <t>Anticipated Drift Angle</t>
  </si>
  <si>
    <t>New Radius</t>
  </si>
  <si>
    <t>TC Bearing</t>
  </si>
  <si>
    <t>Sydney Heads In</t>
  </si>
  <si>
    <t>Paul Chapman   2014</t>
  </si>
  <si>
    <t>Concentric Indexing</t>
  </si>
  <si>
    <t>Adjustments for Drift Angles</t>
  </si>
  <si>
    <t>Heading</t>
  </si>
  <si>
    <r>
      <t xml:space="preserve">Anticipated </t>
    </r>
    <r>
      <rPr>
        <sz val="22"/>
        <color rgb="FF002060"/>
        <rFont val="Calibri"/>
        <family val="2"/>
        <scheme val="minor"/>
      </rPr>
      <t>Drift Angle</t>
    </r>
    <r>
      <rPr>
        <sz val="22"/>
        <color theme="1"/>
        <rFont val="Calibri"/>
        <family val="2"/>
        <scheme val="minor"/>
      </rPr>
      <t xml:space="preserve"> &amp; </t>
    </r>
    <r>
      <rPr>
        <sz val="22"/>
        <color theme="0" tint="-0.499984740745262"/>
        <rFont val="Calibri"/>
        <family val="2"/>
        <scheme val="minor"/>
      </rPr>
      <t>Heading</t>
    </r>
    <r>
      <rPr>
        <sz val="22"/>
        <color theme="1"/>
        <rFont val="Calibri"/>
        <family val="2"/>
        <scheme val="minor"/>
      </rPr>
      <t xml:space="preserve"> on Next Course</t>
    </r>
  </si>
  <si>
    <r>
      <t xml:space="preserve">Initial </t>
    </r>
    <r>
      <rPr>
        <sz val="24"/>
        <color rgb="FF002060"/>
        <rFont val="Calibri"/>
        <family val="2"/>
        <scheme val="minor"/>
      </rPr>
      <t>Drift Angle</t>
    </r>
    <r>
      <rPr>
        <sz val="24"/>
        <color theme="1"/>
        <rFont val="Calibri"/>
        <family val="2"/>
        <scheme val="minor"/>
      </rPr>
      <t xml:space="preserve"> &amp;</t>
    </r>
    <r>
      <rPr>
        <sz val="24"/>
        <color theme="0" tint="-0.499984740745262"/>
        <rFont val="Calibri"/>
        <family val="2"/>
        <scheme val="minor"/>
      </rPr>
      <t xml:space="preserve"> Heading</t>
    </r>
  </si>
  <si>
    <t>TCB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</si>
</sst>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\°"/>
    <numFmt numFmtId="165" formatCode="0.00\'"/>
    <numFmt numFmtId="166" formatCode="0.000"/>
    <numFmt numFmtId="167" formatCode="0\°"/>
    <numFmt numFmtId="168" formatCode="000.0\°"/>
    <numFmt numFmtId="169" formatCode="000\°"/>
  </numFmts>
  <fonts count="2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26"/>
      <color theme="3" tint="-0.249977111117893"/>
      <name val="Calibri"/>
      <family val="2"/>
      <scheme val="minor"/>
    </font>
    <font>
      <i/>
      <sz val="26"/>
      <color theme="3" tint="-0.249977111117893"/>
      <name val="Bookman Old Style"/>
      <family val="1"/>
    </font>
    <font>
      <b/>
      <sz val="1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sz val="2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24"/>
      <color rgb="FF002060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24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166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165" fontId="0" fillId="2" borderId="1" xfId="0" applyNumberForma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164" fontId="4" fillId="7" borderId="0" xfId="0" applyNumberFormat="1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4" fillId="5" borderId="0" xfId="0" applyNumberFormat="1" applyFont="1" applyFill="1" applyBorder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 horizontal="center"/>
      <protection hidden="1"/>
    </xf>
    <xf numFmtId="165" fontId="0" fillId="2" borderId="1" xfId="0" applyNumberFormat="1" applyFill="1" applyBorder="1" applyAlignment="1" applyProtection="1">
      <alignment horizontal="center"/>
      <protection hidden="1"/>
    </xf>
    <xf numFmtId="164" fontId="4" fillId="3" borderId="2" xfId="0" applyNumberFormat="1" applyFont="1" applyFill="1" applyBorder="1" applyAlignment="1" applyProtection="1">
      <alignment horizontal="center"/>
      <protection hidden="1"/>
    </xf>
    <xf numFmtId="2" fontId="0" fillId="4" borderId="3" xfId="0" applyNumberFormat="1" applyFill="1" applyBorder="1" applyAlignment="1" applyProtection="1">
      <alignment horizontal="center"/>
      <protection hidden="1"/>
    </xf>
    <xf numFmtId="164" fontId="4" fillId="5" borderId="4" xfId="0" applyNumberFormat="1" applyFont="1" applyFill="1" applyBorder="1" applyAlignment="1" applyProtection="1">
      <alignment horizontal="center"/>
      <protection hidden="1"/>
    </xf>
    <xf numFmtId="165" fontId="0" fillId="2" borderId="0" xfId="0" applyNumberFormat="1" applyFill="1" applyBorder="1" applyAlignment="1" applyProtection="1">
      <alignment horizontal="center"/>
      <protection hidden="1"/>
    </xf>
    <xf numFmtId="164" fontId="4" fillId="3" borderId="0" xfId="0" applyNumberFormat="1" applyFont="1" applyFill="1" applyBorder="1" applyAlignment="1" applyProtection="1">
      <alignment horizontal="center"/>
      <protection hidden="1"/>
    </xf>
    <xf numFmtId="0" fontId="5" fillId="0" borderId="6" xfId="0" applyFont="1" applyBorder="1"/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2" fontId="4" fillId="0" borderId="0" xfId="0" applyNumberFormat="1" applyFont="1" applyProtection="1">
      <protection hidden="1"/>
    </xf>
    <xf numFmtId="164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0" fontId="7" fillId="0" borderId="7" xfId="0" applyFont="1" applyBorder="1"/>
    <xf numFmtId="0" fontId="4" fillId="0" borderId="0" xfId="0" applyFont="1" applyBorder="1"/>
    <xf numFmtId="0" fontId="6" fillId="0" borderId="0" xfId="0" applyFont="1" applyBorder="1"/>
    <xf numFmtId="0" fontId="0" fillId="0" borderId="8" xfId="0" applyBorder="1"/>
    <xf numFmtId="0" fontId="7" fillId="0" borderId="6" xfId="0" applyFont="1" applyBorder="1"/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6" fillId="0" borderId="5" xfId="0" applyFont="1" applyBorder="1"/>
    <xf numFmtId="164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/>
    <xf numFmtId="0" fontId="4" fillId="0" borderId="5" xfId="0" applyFont="1" applyBorder="1"/>
    <xf numFmtId="16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/>
    <xf numFmtId="9" fontId="6" fillId="0" borderId="0" xfId="0" applyNumberFormat="1" applyFont="1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6" fillId="0" borderId="0" xfId="0" applyNumberFormat="1" applyFont="1" applyBorder="1"/>
    <xf numFmtId="164" fontId="6" fillId="0" borderId="0" xfId="0" applyNumberFormat="1" applyFont="1" applyBorder="1"/>
    <xf numFmtId="167" fontId="0" fillId="0" borderId="5" xfId="0" applyNumberFormat="1" applyBorder="1"/>
    <xf numFmtId="165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12" xfId="0" applyBorder="1"/>
    <xf numFmtId="0" fontId="6" fillId="0" borderId="13" xfId="0" applyFont="1" applyBorder="1"/>
    <xf numFmtId="2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/>
    <xf numFmtId="0" fontId="0" fillId="0" borderId="14" xfId="0" applyBorder="1"/>
    <xf numFmtId="164" fontId="4" fillId="3" borderId="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4" fillId="8" borderId="0" xfId="0" applyNumberFormat="1" applyFont="1" applyFill="1" applyBorder="1" applyAlignment="1">
      <alignment horizontal="center"/>
    </xf>
    <xf numFmtId="164" fontId="4" fillId="8" borderId="15" xfId="0" applyNumberFormat="1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164" fontId="4" fillId="7" borderId="17" xfId="0" applyNumberFormat="1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164" fontId="4" fillId="5" borderId="18" xfId="0" applyNumberFormat="1" applyFon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4" fontId="4" fillId="8" borderId="20" xfId="0" applyNumberFormat="1" applyFont="1" applyFill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164" fontId="4" fillId="7" borderId="20" xfId="0" applyNumberFormat="1" applyFont="1" applyFill="1" applyBorder="1" applyAlignment="1">
      <alignment horizontal="center"/>
    </xf>
    <xf numFmtId="164" fontId="4" fillId="8" borderId="16" xfId="0" applyNumberFormat="1" applyFont="1" applyFill="1" applyBorder="1" applyAlignment="1">
      <alignment horizontal="center"/>
    </xf>
    <xf numFmtId="164" fontId="4" fillId="7" borderId="18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8" borderId="2" xfId="0" applyNumberFormat="1" applyFon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164" fontId="4" fillId="7" borderId="4" xfId="0" applyNumberFormat="1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164" fontId="4" fillId="5" borderId="20" xfId="0" applyNumberFormat="1" applyFont="1" applyFill="1" applyBorder="1" applyAlignment="1">
      <alignment horizontal="center"/>
    </xf>
    <xf numFmtId="2" fontId="0" fillId="6" borderId="19" xfId="0" applyNumberFormat="1" applyFill="1" applyBorder="1" applyAlignment="1" applyProtection="1">
      <alignment horizontal="center"/>
      <protection hidden="1"/>
    </xf>
    <xf numFmtId="164" fontId="4" fillId="7" borderId="20" xfId="0" applyNumberFormat="1" applyFont="1" applyFill="1" applyBorder="1" applyAlignment="1" applyProtection="1">
      <alignment horizontal="center"/>
      <protection hidden="1"/>
    </xf>
    <xf numFmtId="165" fontId="0" fillId="2" borderId="16" xfId="0" applyNumberFormat="1" applyFill="1" applyBorder="1" applyAlignment="1" applyProtection="1">
      <alignment horizontal="center"/>
      <protection hidden="1"/>
    </xf>
    <xf numFmtId="165" fontId="0" fillId="2" borderId="19" xfId="0" applyNumberFormat="1" applyFill="1" applyBorder="1" applyAlignment="1" applyProtection="1">
      <alignment horizontal="center"/>
      <protection hidden="1"/>
    </xf>
    <xf numFmtId="164" fontId="4" fillId="8" borderId="20" xfId="0" applyNumberFormat="1" applyFont="1" applyFill="1" applyBorder="1" applyAlignment="1" applyProtection="1">
      <alignment horizontal="center"/>
      <protection hidden="1"/>
    </xf>
    <xf numFmtId="164" fontId="4" fillId="8" borderId="16" xfId="0" applyNumberFormat="1" applyFont="1" applyFill="1" applyBorder="1" applyAlignment="1" applyProtection="1">
      <alignment horizontal="center"/>
      <protection hidden="1"/>
    </xf>
    <xf numFmtId="2" fontId="0" fillId="6" borderId="18" xfId="0" applyNumberFormat="1" applyFill="1" applyBorder="1" applyAlignment="1" applyProtection="1">
      <alignment horizontal="center"/>
      <protection hidden="1"/>
    </xf>
    <xf numFmtId="164" fontId="4" fillId="7" borderId="18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Protection="1"/>
    <xf numFmtId="0" fontId="6" fillId="0" borderId="13" xfId="0" applyFont="1" applyBorder="1" applyProtection="1"/>
    <xf numFmtId="0" fontId="0" fillId="0" borderId="0" xfId="0" applyAlignment="1"/>
    <xf numFmtId="168" fontId="5" fillId="0" borderId="7" xfId="0" applyNumberFormat="1" applyFont="1" applyBorder="1"/>
    <xf numFmtId="168" fontId="9" fillId="11" borderId="21" xfId="0" applyNumberFormat="1" applyFont="1" applyFill="1" applyBorder="1" applyProtection="1">
      <protection locked="0"/>
    </xf>
    <xf numFmtId="165" fontId="9" fillId="11" borderId="21" xfId="0" applyNumberFormat="1" applyFont="1" applyFill="1" applyBorder="1" applyProtection="1">
      <protection locked="0"/>
    </xf>
    <xf numFmtId="164" fontId="7" fillId="11" borderId="7" xfId="0" applyNumberFormat="1" applyFont="1" applyFill="1" applyBorder="1" applyProtection="1">
      <protection locked="0"/>
    </xf>
    <xf numFmtId="167" fontId="18" fillId="10" borderId="7" xfId="0" applyNumberFormat="1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4" fillId="7" borderId="7" xfId="0" applyFont="1" applyFill="1" applyBorder="1" applyAlignment="1" applyProtection="1">
      <alignment horizontal="center"/>
      <protection hidden="1"/>
    </xf>
    <xf numFmtId="165" fontId="0" fillId="2" borderId="7" xfId="0" applyNumberFormat="1" applyFill="1" applyBorder="1" applyAlignment="1" applyProtection="1">
      <alignment horizontal="center"/>
      <protection hidden="1"/>
    </xf>
    <xf numFmtId="164" fontId="4" fillId="3" borderId="7" xfId="0" applyNumberFormat="1" applyFont="1" applyFill="1" applyBorder="1" applyAlignment="1" applyProtection="1">
      <alignment horizontal="center"/>
      <protection hidden="1"/>
    </xf>
    <xf numFmtId="2" fontId="0" fillId="4" borderId="7" xfId="0" applyNumberFormat="1" applyFill="1" applyBorder="1" applyAlignment="1" applyProtection="1">
      <alignment horizontal="center"/>
      <protection hidden="1"/>
    </xf>
    <xf numFmtId="164" fontId="4" fillId="5" borderId="7" xfId="0" applyNumberFormat="1" applyFont="1" applyFill="1" applyBorder="1" applyAlignment="1" applyProtection="1">
      <alignment horizontal="center"/>
      <protection hidden="1"/>
    </xf>
    <xf numFmtId="0" fontId="10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2" fillId="5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24" xfId="0" applyFont="1" applyBorder="1" applyAlignment="1">
      <alignment horizontal="center" vertical="center"/>
    </xf>
    <xf numFmtId="164" fontId="9" fillId="11" borderId="8" xfId="0" applyNumberFormat="1" applyFont="1" applyFill="1" applyBorder="1" applyAlignment="1" applyProtection="1">
      <alignment horizontal="right"/>
      <protection locked="0"/>
    </xf>
    <xf numFmtId="0" fontId="0" fillId="11" borderId="21" xfId="0" applyFill="1" applyBorder="1" applyAlignment="1" applyProtection="1">
      <alignment horizontal="right"/>
      <protection locked="0"/>
    </xf>
    <xf numFmtId="165" fontId="5" fillId="2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 vertical="center"/>
    </xf>
    <xf numFmtId="164" fontId="12" fillId="3" borderId="23" xfId="0" applyNumberFormat="1" applyFont="1" applyFill="1" applyBorder="1" applyAlignment="1" applyProtection="1">
      <alignment horizontal="center" vertical="center"/>
      <protection hidden="1"/>
    </xf>
    <xf numFmtId="165" fontId="5" fillId="4" borderId="23" xfId="0" applyNumberFormat="1" applyFont="1" applyFill="1" applyBorder="1" applyAlignment="1" applyProtection="1">
      <alignment horizontal="center" vertical="center"/>
      <protection hidden="1"/>
    </xf>
    <xf numFmtId="165" fontId="5" fillId="0" borderId="24" xfId="0" applyNumberFormat="1" applyFont="1" applyBorder="1" applyAlignment="1">
      <alignment horizontal="center" vertical="center"/>
    </xf>
    <xf numFmtId="167" fontId="19" fillId="9" borderId="31" xfId="0" applyNumberFormat="1" applyFont="1" applyFill="1" applyBorder="1" applyAlignment="1" applyProtection="1">
      <alignment horizontal="center" vertical="center"/>
      <protection hidden="1"/>
    </xf>
    <xf numFmtId="0" fontId="26" fillId="0" borderId="32" xfId="0" applyFont="1" applyBorder="1" applyAlignment="1">
      <alignment horizontal="center" vertical="center"/>
    </xf>
    <xf numFmtId="167" fontId="16" fillId="10" borderId="27" xfId="0" applyNumberFormat="1" applyFont="1" applyFill="1" applyBorder="1" applyAlignment="1" applyProtection="1">
      <alignment horizontal="center"/>
      <protection hidden="1"/>
    </xf>
    <xf numFmtId="0" fontId="17" fillId="0" borderId="28" xfId="0" applyFont="1" applyBorder="1" applyAlignment="1">
      <alignment horizontal="center"/>
    </xf>
    <xf numFmtId="0" fontId="15" fillId="0" borderId="0" xfId="0" applyFont="1" applyAlignment="1" applyProtection="1">
      <alignment horizontal="right"/>
      <protection hidden="1"/>
    </xf>
    <xf numFmtId="0" fontId="0" fillId="0" borderId="0" xfId="0" applyAlignment="1"/>
    <xf numFmtId="0" fontId="13" fillId="0" borderId="25" xfId="0" quotePrefix="1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textRotation="90"/>
    </xf>
    <xf numFmtId="0" fontId="5" fillId="0" borderId="26" xfId="0" quotePrefix="1" applyFont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167" fontId="14" fillId="0" borderId="0" xfId="0" applyNumberFormat="1" applyFont="1" applyAlignment="1" applyProtection="1">
      <protection hidden="1"/>
    </xf>
    <xf numFmtId="0" fontId="14" fillId="0" borderId="0" xfId="0" applyFont="1" applyAlignment="1" applyProtection="1">
      <protection hidden="1"/>
    </xf>
    <xf numFmtId="167" fontId="23" fillId="9" borderId="27" xfId="0" applyNumberFormat="1" applyFont="1" applyFill="1" applyBorder="1" applyAlignment="1" applyProtection="1">
      <alignment horizontal="center" vertical="center"/>
      <protection hidden="1"/>
    </xf>
    <xf numFmtId="0" fontId="24" fillId="0" borderId="30" xfId="0" applyFont="1" applyBorder="1" applyAlignment="1">
      <alignment horizontal="center" vertical="center"/>
    </xf>
    <xf numFmtId="167" fontId="23" fillId="9" borderId="29" xfId="0" applyNumberFormat="1" applyFont="1" applyFill="1" applyBorder="1" applyAlignment="1" applyProtection="1">
      <alignment horizontal="center" vertical="center"/>
      <protection hidden="1"/>
    </xf>
    <xf numFmtId="169" fontId="19" fillId="10" borderId="27" xfId="0" applyNumberFormat="1" applyFont="1" applyFill="1" applyBorder="1" applyAlignment="1" applyProtection="1">
      <alignment horizontal="center"/>
      <protection hidden="1"/>
    </xf>
    <xf numFmtId="169" fontId="20" fillId="0" borderId="28" xfId="0" applyNumberFormat="1" applyFont="1" applyBorder="1" applyAlignment="1">
      <alignment horizontal="center"/>
    </xf>
    <xf numFmtId="167" fontId="23" fillId="9" borderId="27" xfId="0" applyNumberFormat="1" applyFont="1" applyFill="1" applyBorder="1" applyAlignment="1">
      <alignment horizontal="center" vertical="center"/>
    </xf>
    <xf numFmtId="167" fontId="23" fillId="10" borderId="27" xfId="0" applyNumberFormat="1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167" fontId="23" fillId="10" borderId="27" xfId="0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752475</xdr:colOff>
      <xdr:row>6</xdr:row>
      <xdr:rowOff>333375</xdr:rowOff>
    </xdr:from>
    <xdr:to>
      <xdr:col>9</xdr:col>
      <xdr:colOff>219075</xdr:colOff>
      <xdr:row>11</xdr:row>
      <xdr:rowOff>104775</xdr:rowOff>
    </xdr:to>
    <xdr:pic>
      <xdr:nvPicPr>
        <xdr:cNvPr id="1025" name="Picture 1" descr="Hull'6 to 1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58300" y="2085975"/>
          <a:ext cx="3143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57150</xdr:colOff>
      <xdr:row>5</xdr:row>
      <xdr:rowOff>104775</xdr:rowOff>
    </xdr:from>
    <xdr:to>
      <xdr:col>9</xdr:col>
      <xdr:colOff>57150</xdr:colOff>
      <xdr:row>9</xdr:row>
      <xdr:rowOff>76201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8039100" y="295275"/>
          <a:ext cx="0" cy="1419226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552450</xdr:colOff>
      <xdr:row>6</xdr:row>
      <xdr:rowOff>333375</xdr:rowOff>
    </xdr:from>
    <xdr:to>
      <xdr:col>11</xdr:col>
      <xdr:colOff>114300</xdr:colOff>
      <xdr:row>11</xdr:row>
      <xdr:rowOff>104775</xdr:rowOff>
    </xdr:to>
    <xdr:pic>
      <xdr:nvPicPr>
        <xdr:cNvPr id="1027" name="Picture 9" descr="Hull'6 to 1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6050" y="2085975"/>
          <a:ext cx="3143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695325</xdr:colOff>
      <xdr:row>5</xdr:row>
      <xdr:rowOff>104775</xdr:rowOff>
    </xdr:from>
    <xdr:to>
      <xdr:col>10</xdr:col>
      <xdr:colOff>695325</xdr:colOff>
      <xdr:row>9</xdr:row>
      <xdr:rowOff>76201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9077325" y="295275"/>
          <a:ext cx="0" cy="1419226"/>
        </a:xfrm>
        <a:prstGeom prst="straightConnector1">
          <a:avLst/>
        </a:prstGeom>
        <a:ln w="28575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5</xdr:row>
      <xdr:rowOff>123824</xdr:rowOff>
    </xdr:from>
    <xdr:to>
      <xdr:col>11</xdr:col>
      <xdr:colOff>133350</xdr:colOff>
      <xdr:row>9</xdr:row>
      <xdr:rowOff>95250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900000" flipV="1">
          <a:off x="9267825" y="314324"/>
          <a:ext cx="0" cy="1419226"/>
        </a:xfrm>
        <a:prstGeom prst="straightConnector1">
          <a:avLst/>
        </a:prstGeom>
        <a:ln w="28575"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714376</xdr:colOff>
      <xdr:row>5</xdr:row>
      <xdr:rowOff>142876</xdr:rowOff>
    </xdr:from>
    <xdr:to>
      <xdr:col>8</xdr:col>
      <xdr:colOff>714376</xdr:colOff>
      <xdr:row>9</xdr:row>
      <xdr:rowOff>114302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-900000" flipV="1">
          <a:off x="7848601" y="333376"/>
          <a:ext cx="0" cy="1419226"/>
        </a:xfrm>
        <a:prstGeom prst="straightConnector1">
          <a:avLst/>
        </a:prstGeom>
        <a:ln w="28575">
          <a:solidFill>
            <a:schemeClr val="accent6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468620</xdr:colOff>
      <xdr:row>8</xdr:row>
      <xdr:rowOff>219075</xdr:rowOff>
    </xdr:from>
    <xdr:ext cx="788486" cy="43678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498195" y="2695575"/>
          <a:ext cx="78848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AU" sz="1100" b="1"/>
            <a:t>-ve </a:t>
          </a:r>
        </a:p>
        <a:p>
          <a:pPr algn="ctr"/>
          <a:r>
            <a:rPr lang="en-AU" sz="1100" b="1"/>
            <a:t>drift angle</a:t>
          </a:r>
        </a:p>
      </xdr:txBody>
    </xdr:sp>
    <xdr:clientData/>
  </xdr:oneCellAnchor>
  <xdr:oneCellAnchor>
    <xdr:from>
      <xdr:col>11</xdr:col>
      <xdr:colOff>87620</xdr:colOff>
      <xdr:row>8</xdr:row>
      <xdr:rowOff>228600</xdr:rowOff>
    </xdr:from>
    <xdr:ext cx="788486" cy="43678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593695" y="2705100"/>
          <a:ext cx="78848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en-AU" sz="1100" b="1"/>
            <a:t>+ve </a:t>
          </a:r>
        </a:p>
        <a:p>
          <a:pPr algn="ctr"/>
          <a:r>
            <a:rPr lang="en-AU" sz="1100" b="1"/>
            <a:t>drift angle</a:t>
          </a:r>
        </a:p>
      </xdr:txBody>
    </xdr:sp>
    <xdr:clientData/>
  </xdr:oneCellAnchor>
  <xdr:oneCellAnchor>
    <xdr:from>
      <xdr:col>4</xdr:col>
      <xdr:colOff>57150</xdr:colOff>
      <xdr:row>15</xdr:row>
      <xdr:rowOff>9525</xdr:rowOff>
    </xdr:from>
    <xdr:ext cx="526298" cy="374141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286375" y="4333875"/>
          <a:ext cx="52629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AU" sz="1800"/>
            <a:t>CTS</a:t>
          </a:r>
        </a:p>
      </xdr:txBody>
    </xdr:sp>
    <xdr:clientData/>
  </xdr:oneCellAnchor>
  <xdr:oneCellAnchor>
    <xdr:from>
      <xdr:col>4</xdr:col>
      <xdr:colOff>57150</xdr:colOff>
      <xdr:row>16</xdr:row>
      <xdr:rowOff>0</xdr:rowOff>
    </xdr:from>
    <xdr:ext cx="526298" cy="374141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286375" y="4686300"/>
          <a:ext cx="52629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AU" sz="1800"/>
            <a:t>CTS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8"/>
  <sheetViews>
    <sheetView showGridLines="0" workbookViewId="0"/>
  </sheetViews>
  <sheetFormatPr defaultRowHeight="15" x14ac:dyDescent="0.25"/>
  <cols>
    <col min="3" max="3" width="42.28515625" customWidth="1"/>
    <col min="4" max="4" width="17.85546875" customWidth="1"/>
    <col min="5" max="5" width="21.85546875" customWidth="1"/>
    <col min="7" max="7" width="11" customWidth="1"/>
    <col min="8" max="8" width="7.140625" customWidth="1"/>
    <col min="9" max="9" width="12.7109375" customWidth="1"/>
    <col min="10" max="10" width="6" customWidth="1"/>
    <col min="11" max="11" width="11.28515625" customWidth="1"/>
    <col min="12" max="12" width="5.42578125" customWidth="1"/>
    <col min="13" max="13" width="12.85546875" customWidth="1"/>
  </cols>
  <sheetData>
    <row r="1" spans="2:24" ht="15.75" thickBot="1" x14ac:dyDescent="0.3"/>
    <row r="2" spans="2:24" ht="32.25" thickTop="1" x14ac:dyDescent="0.25">
      <c r="B2" s="48"/>
      <c r="C2" s="125" t="s">
        <v>24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49"/>
    </row>
    <row r="3" spans="2:24" ht="31.5" x14ac:dyDescent="0.25">
      <c r="B3" s="50"/>
      <c r="C3" s="126" t="s">
        <v>25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52"/>
    </row>
    <row r="4" spans="2:24" x14ac:dyDescent="0.25">
      <c r="B4" s="50"/>
      <c r="C4" s="51"/>
      <c r="D4" s="51"/>
      <c r="E4" s="51"/>
      <c r="F4" s="42"/>
      <c r="G4" s="43"/>
      <c r="H4" s="43"/>
      <c r="I4" s="43"/>
      <c r="J4" s="43"/>
      <c r="K4" s="43"/>
      <c r="L4" s="43"/>
      <c r="M4" s="43"/>
      <c r="N4" s="52"/>
    </row>
    <row r="5" spans="2:24" x14ac:dyDescent="0.25">
      <c r="B5" s="50"/>
      <c r="C5" s="51"/>
      <c r="D5" s="51"/>
      <c r="E5" s="51"/>
      <c r="F5" s="42"/>
      <c r="G5" s="43"/>
      <c r="H5" s="43"/>
      <c r="I5" s="43"/>
      <c r="J5" s="43"/>
      <c r="K5" s="43"/>
      <c r="L5" s="43"/>
      <c r="M5" s="43"/>
      <c r="N5" s="52"/>
    </row>
    <row r="6" spans="2:24" ht="28.5" x14ac:dyDescent="0.45">
      <c r="B6" s="50"/>
      <c r="C6" s="29" t="s">
        <v>0</v>
      </c>
      <c r="D6" s="44"/>
      <c r="E6" s="113">
        <v>288</v>
      </c>
      <c r="F6" s="42"/>
      <c r="G6" s="42"/>
      <c r="H6" s="53">
        <f>MOD(E7-IF(E6&gt;E7,E6,E6-360),360)</f>
        <v>292</v>
      </c>
      <c r="I6" s="42" t="s">
        <v>6</v>
      </c>
      <c r="J6" s="42"/>
      <c r="K6" s="42" t="s">
        <v>16</v>
      </c>
      <c r="L6" s="54">
        <f>SIN(RADIANS(E10))*E9</f>
        <v>-0.80540362551952793</v>
      </c>
      <c r="M6" s="54">
        <f>COS(RADIANS(E10))*E9</f>
        <v>0.46500000000000014</v>
      </c>
      <c r="N6" s="52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2:24" ht="28.5" x14ac:dyDescent="0.45">
      <c r="B7" s="50"/>
      <c r="C7" s="29" t="s">
        <v>1</v>
      </c>
      <c r="D7" s="44"/>
      <c r="E7" s="113">
        <v>220</v>
      </c>
      <c r="F7" s="42"/>
      <c r="G7" s="42"/>
      <c r="H7" s="53">
        <f>E7-IF(E7&gt;E6,E6+360,E6)</f>
        <v>-68</v>
      </c>
      <c r="I7" s="42" t="s">
        <v>7</v>
      </c>
      <c r="J7" s="42"/>
      <c r="K7" s="42" t="s">
        <v>15</v>
      </c>
      <c r="L7" s="54">
        <f>SIN(RADIANS(E6+IF(H8&gt;0,-90,90)))*E8</f>
        <v>0.20086104634371568</v>
      </c>
      <c r="M7" s="54">
        <f>COS(RADIANS(E6+IF(H8&gt;0,-90,90)))*E8</f>
        <v>0.61818673559184989</v>
      </c>
      <c r="N7" s="52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2:24" ht="28.5" x14ac:dyDescent="0.45">
      <c r="B8" s="50"/>
      <c r="C8" s="29" t="s">
        <v>2</v>
      </c>
      <c r="D8" s="44"/>
      <c r="E8" s="114">
        <v>0.65</v>
      </c>
      <c r="F8" s="42" t="s">
        <v>5</v>
      </c>
      <c r="G8" s="42"/>
      <c r="H8" s="53">
        <f>IF(H6+H7&lt;0,H6,H7)</f>
        <v>-68</v>
      </c>
      <c r="I8" s="42" t="str">
        <f>IF(H8&gt;0,I6,I7)</f>
        <v>to Port</v>
      </c>
      <c r="J8" s="42"/>
      <c r="K8" s="42"/>
      <c r="L8" s="42"/>
      <c r="M8" s="42"/>
      <c r="N8" s="52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2:24" ht="28.5" x14ac:dyDescent="0.45">
      <c r="B9" s="50"/>
      <c r="C9" s="29" t="s">
        <v>3</v>
      </c>
      <c r="D9" s="44"/>
      <c r="E9" s="114">
        <v>0.93</v>
      </c>
      <c r="F9" s="42" t="s">
        <v>8</v>
      </c>
      <c r="G9" s="42"/>
      <c r="H9" s="53">
        <f>H8/2</f>
        <v>-34</v>
      </c>
      <c r="I9" s="42"/>
      <c r="J9" s="42"/>
      <c r="K9" s="42"/>
      <c r="L9" s="42"/>
      <c r="M9" s="42"/>
      <c r="N9" s="52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2:24" ht="28.5" x14ac:dyDescent="0.45">
      <c r="B10" s="50"/>
      <c r="C10" s="29" t="s">
        <v>4</v>
      </c>
      <c r="D10" s="44"/>
      <c r="E10" s="113">
        <v>300</v>
      </c>
      <c r="F10" s="42" t="s">
        <v>9</v>
      </c>
      <c r="G10" s="42"/>
      <c r="H10" s="55">
        <f>MOD(E6+H9+IF(H9&lt;0,90,-90),360)</f>
        <v>344</v>
      </c>
      <c r="I10" s="42" t="s">
        <v>10</v>
      </c>
      <c r="J10" s="42"/>
      <c r="K10" s="42"/>
      <c r="L10" s="42"/>
      <c r="M10" s="42"/>
      <c r="N10" s="52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2:24" ht="28.5" x14ac:dyDescent="0.45">
      <c r="B11" s="50"/>
      <c r="C11" s="29" t="s">
        <v>17</v>
      </c>
      <c r="D11" s="129" t="s">
        <v>22</v>
      </c>
      <c r="E11" s="130"/>
      <c r="F11" s="46"/>
      <c r="G11" s="47"/>
      <c r="H11" s="42"/>
      <c r="I11" s="42"/>
      <c r="J11" s="42"/>
      <c r="K11" s="42"/>
      <c r="L11" s="42"/>
      <c r="M11" s="42"/>
      <c r="N11" s="56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2:24" x14ac:dyDescent="0.25">
      <c r="B12" s="50"/>
      <c r="C12" s="43"/>
      <c r="D12" s="57"/>
      <c r="E12" s="58"/>
      <c r="F12" s="43"/>
      <c r="G12" s="43"/>
      <c r="H12" s="42"/>
      <c r="I12" s="42"/>
      <c r="J12" s="42"/>
      <c r="K12" s="42"/>
      <c r="L12" s="59"/>
      <c r="M12" s="59"/>
      <c r="N12" s="56"/>
    </row>
    <row r="13" spans="2:24" x14ac:dyDescent="0.25">
      <c r="B13" s="50"/>
      <c r="C13" s="43"/>
      <c r="D13" s="43"/>
      <c r="E13" s="43"/>
      <c r="F13" s="60"/>
      <c r="G13" s="43"/>
      <c r="H13" s="43"/>
      <c r="I13" s="43"/>
      <c r="J13" s="43"/>
      <c r="K13" s="43"/>
      <c r="L13" s="43"/>
      <c r="M13" s="43"/>
      <c r="N13" s="61"/>
    </row>
    <row r="14" spans="2:24" x14ac:dyDescent="0.25">
      <c r="B14" s="50"/>
      <c r="C14" s="43"/>
      <c r="D14" s="62"/>
      <c r="E14" s="63"/>
      <c r="F14" s="63"/>
      <c r="G14" s="62"/>
      <c r="H14" s="63"/>
      <c r="I14" s="63"/>
      <c r="J14" s="62"/>
      <c r="K14" s="62"/>
      <c r="L14" s="62"/>
      <c r="M14" s="62"/>
      <c r="N14" s="64"/>
      <c r="O14" s="8"/>
    </row>
    <row r="15" spans="2:24" x14ac:dyDescent="0.25">
      <c r="B15" s="50"/>
      <c r="C15" s="43"/>
      <c r="D15" s="43"/>
      <c r="E15" s="43"/>
      <c r="F15" s="43"/>
      <c r="G15" s="65" t="s">
        <v>20</v>
      </c>
      <c r="H15" s="63"/>
      <c r="I15" s="58" t="s">
        <v>21</v>
      </c>
      <c r="J15" s="63"/>
      <c r="K15" s="63" t="s">
        <v>13</v>
      </c>
      <c r="L15" s="63"/>
      <c r="M15" s="63" t="s">
        <v>14</v>
      </c>
      <c r="N15" s="61"/>
    </row>
    <row r="16" spans="2:24" ht="28.5" x14ac:dyDescent="0.45">
      <c r="B16" s="50"/>
      <c r="C16" s="45" t="s">
        <v>18</v>
      </c>
      <c r="D16" s="115">
        <v>0</v>
      </c>
      <c r="E16" s="112">
        <f>MOD(Init_Co-D16,360)</f>
        <v>288</v>
      </c>
      <c r="F16" s="66"/>
      <c r="G16" s="131">
        <f>$E$8*$H$8/($H$8-D$17+$D16)</f>
        <v>0.52619047619047621</v>
      </c>
      <c r="H16" s="66"/>
      <c r="I16" s="133">
        <f>IF(H8&gt;0,90,270)+(D$17+$D16)/2*'5° Table'!W31</f>
        <v>279.60996332325107</v>
      </c>
      <c r="J16" s="67"/>
      <c r="K16" s="134">
        <f>SQRT(POWER($L$6-($L$7+SIN(RADIANS(I16+$E$6-$D16))*G16),2)+POWER($M$6-($M$7+COS(RADIANS(I16+$E$6-$D16))*G16),2))</f>
        <v>0.824182653796251</v>
      </c>
      <c r="L16" s="67"/>
      <c r="M16" s="127">
        <f>MOD(DEGREES(ATAN2($M$6-($M$7+COS(RADIANS(I16+$E$6-$D16))*G16),$L$6-($L$7+SIN(RADIANS(I16+$E$6-$D16))*G16))),360)</f>
        <v>292.32566677303441</v>
      </c>
      <c r="N16" s="68"/>
    </row>
    <row r="17" spans="2:14" ht="28.5" x14ac:dyDescent="0.45">
      <c r="B17" s="50"/>
      <c r="C17" s="41" t="s">
        <v>19</v>
      </c>
      <c r="D17" s="115">
        <v>16</v>
      </c>
      <c r="E17" s="112">
        <f>MOD(E7-D17,360)</f>
        <v>204</v>
      </c>
      <c r="F17" s="66"/>
      <c r="G17" s="132"/>
      <c r="H17" s="66"/>
      <c r="I17" s="128"/>
      <c r="J17" s="67"/>
      <c r="K17" s="135"/>
      <c r="L17" s="67"/>
      <c r="M17" s="128"/>
      <c r="N17" s="68"/>
    </row>
    <row r="18" spans="2:14" x14ac:dyDescent="0.25">
      <c r="B18" s="50"/>
      <c r="C18" s="43"/>
      <c r="D18" s="58"/>
      <c r="E18" s="58"/>
      <c r="F18" s="66"/>
      <c r="G18" s="51"/>
      <c r="H18" s="43"/>
      <c r="I18" s="69"/>
      <c r="J18" s="69"/>
      <c r="K18" s="70"/>
      <c r="L18" s="66"/>
      <c r="M18" s="66"/>
      <c r="N18" s="61"/>
    </row>
    <row r="19" spans="2:14" ht="15.75" thickBot="1" x14ac:dyDescent="0.3">
      <c r="B19" s="71"/>
      <c r="C19" s="72"/>
      <c r="D19" s="73"/>
      <c r="E19" s="73"/>
      <c r="F19" s="73"/>
      <c r="G19" s="73"/>
      <c r="H19" s="72"/>
      <c r="I19" s="74"/>
      <c r="J19" s="74"/>
      <c r="K19" s="75"/>
      <c r="L19" s="110" t="s">
        <v>23</v>
      </c>
      <c r="M19" s="76"/>
      <c r="N19" s="77"/>
    </row>
    <row r="20" spans="2:14" ht="15.75" thickTop="1" x14ac:dyDescent="0.25">
      <c r="C20" s="30"/>
      <c r="D20" s="31"/>
      <c r="E20" s="31"/>
      <c r="F20" s="30"/>
      <c r="G20" s="30"/>
      <c r="H20" s="30"/>
      <c r="I20" s="33"/>
      <c r="J20" s="33"/>
      <c r="K20" s="34"/>
      <c r="L20" s="32"/>
      <c r="M20" s="32"/>
    </row>
    <row r="21" spans="2:14" x14ac:dyDescent="0.25">
      <c r="C21" s="30"/>
      <c r="D21" s="31"/>
      <c r="E21" s="31"/>
      <c r="F21" s="30"/>
      <c r="G21" s="30"/>
      <c r="H21" s="30"/>
      <c r="I21" s="33"/>
      <c r="J21" s="33"/>
      <c r="K21" s="34"/>
      <c r="L21" s="32"/>
      <c r="M21" s="32"/>
    </row>
    <row r="22" spans="2:14" x14ac:dyDescent="0.25">
      <c r="C22" s="30"/>
      <c r="D22" s="31"/>
      <c r="E22" s="31"/>
      <c r="F22" s="30"/>
      <c r="G22" s="30"/>
      <c r="H22" s="30"/>
      <c r="I22" s="33"/>
      <c r="J22" s="33"/>
      <c r="K22" s="34"/>
      <c r="L22" s="32"/>
    </row>
    <row r="23" spans="2:14" x14ac:dyDescent="0.25">
      <c r="C23" s="30"/>
      <c r="D23" s="30"/>
      <c r="E23" s="32"/>
      <c r="F23" s="30"/>
      <c r="G23" s="30"/>
      <c r="H23" s="30"/>
      <c r="I23" s="33"/>
      <c r="J23" s="33"/>
      <c r="K23" s="34"/>
      <c r="L23" s="32"/>
      <c r="M23" s="32"/>
    </row>
    <row r="24" spans="2:14" x14ac:dyDescent="0.25">
      <c r="I24" s="4"/>
      <c r="J24" s="4"/>
      <c r="K24" s="5"/>
      <c r="L24" s="2"/>
      <c r="M24" s="2"/>
    </row>
    <row r="25" spans="2:14" x14ac:dyDescent="0.25">
      <c r="I25" s="4"/>
      <c r="J25" s="4"/>
      <c r="K25" s="5"/>
      <c r="L25" s="2"/>
      <c r="M25" s="2"/>
    </row>
    <row r="26" spans="2:14" x14ac:dyDescent="0.25">
      <c r="I26" s="4"/>
      <c r="J26" s="4"/>
      <c r="K26" s="5"/>
      <c r="L26" s="2"/>
      <c r="M26" s="2"/>
    </row>
    <row r="27" spans="2:14" x14ac:dyDescent="0.25">
      <c r="I27" s="4"/>
      <c r="J27" s="4"/>
      <c r="K27" s="5"/>
      <c r="L27" s="2"/>
      <c r="M27" s="2"/>
    </row>
    <row r="28" spans="2:14" x14ac:dyDescent="0.25">
      <c r="I28" s="4"/>
      <c r="J28" s="4"/>
      <c r="K28" s="5"/>
      <c r="L28" s="2"/>
      <c r="M28" s="2"/>
    </row>
    <row r="29" spans="2:14" x14ac:dyDescent="0.25">
      <c r="I29" s="4"/>
      <c r="J29" s="4"/>
      <c r="K29" s="5"/>
      <c r="L29" s="2"/>
      <c r="M29" s="2"/>
    </row>
    <row r="30" spans="2:14" x14ac:dyDescent="0.25">
      <c r="I30" s="4"/>
      <c r="J30" s="4"/>
      <c r="K30" s="5"/>
      <c r="L30" s="2"/>
      <c r="M30" s="2"/>
    </row>
    <row r="31" spans="2:14" x14ac:dyDescent="0.25">
      <c r="I31" s="4"/>
      <c r="J31" s="4"/>
      <c r="K31" s="5"/>
      <c r="L31" s="2"/>
      <c r="M31" s="2"/>
    </row>
    <row r="32" spans="2:14" x14ac:dyDescent="0.25">
      <c r="I32" s="4"/>
      <c r="J32" s="4"/>
      <c r="K32" s="5"/>
      <c r="L32" s="2"/>
      <c r="M32" s="2"/>
    </row>
    <row r="33" spans="9:13" x14ac:dyDescent="0.25">
      <c r="I33" s="4"/>
      <c r="J33" s="4"/>
      <c r="K33" s="5"/>
      <c r="L33" s="2"/>
      <c r="M33" s="2"/>
    </row>
    <row r="34" spans="9:13" x14ac:dyDescent="0.25">
      <c r="I34" s="4"/>
      <c r="J34" s="4"/>
      <c r="K34" s="5"/>
      <c r="L34" s="2"/>
      <c r="M34" s="2"/>
    </row>
    <row r="35" spans="9:13" x14ac:dyDescent="0.25">
      <c r="I35" s="4"/>
      <c r="J35" s="4"/>
      <c r="K35" s="5"/>
      <c r="L35" s="2"/>
      <c r="M35" s="2"/>
    </row>
    <row r="36" spans="9:13" x14ac:dyDescent="0.25">
      <c r="I36" s="4"/>
      <c r="J36" s="4"/>
      <c r="K36" s="5"/>
      <c r="L36" s="2"/>
      <c r="M36" s="2"/>
    </row>
    <row r="37" spans="9:13" x14ac:dyDescent="0.25">
      <c r="I37" s="4"/>
      <c r="J37" s="4"/>
      <c r="K37" s="5"/>
      <c r="L37" s="2"/>
      <c r="M37" s="2"/>
    </row>
    <row r="38" spans="9:13" x14ac:dyDescent="0.25">
      <c r="I38" s="4"/>
      <c r="J38" s="4"/>
      <c r="K38" s="5"/>
      <c r="L38" s="2"/>
      <c r="M38" s="2"/>
    </row>
    <row r="39" spans="9:13" x14ac:dyDescent="0.25">
      <c r="I39" s="4"/>
      <c r="J39" s="4"/>
      <c r="K39" s="5"/>
      <c r="L39" s="2"/>
      <c r="M39" s="2"/>
    </row>
    <row r="40" spans="9:13" x14ac:dyDescent="0.25">
      <c r="I40" s="4"/>
      <c r="J40" s="4"/>
      <c r="K40" s="5"/>
      <c r="L40" s="2"/>
      <c r="M40" s="2"/>
    </row>
    <row r="41" spans="9:13" x14ac:dyDescent="0.25">
      <c r="I41" s="4"/>
      <c r="J41" s="4"/>
      <c r="K41" s="5"/>
      <c r="L41" s="2"/>
      <c r="M41" s="2"/>
    </row>
    <row r="42" spans="9:13" x14ac:dyDescent="0.25">
      <c r="I42" s="4"/>
      <c r="J42" s="4"/>
      <c r="K42" s="5"/>
      <c r="L42" s="2"/>
      <c r="M42" s="2"/>
    </row>
    <row r="43" spans="9:13" x14ac:dyDescent="0.25">
      <c r="I43" s="4"/>
      <c r="J43" s="4"/>
      <c r="K43" s="5"/>
      <c r="L43" s="2"/>
      <c r="M43" s="2"/>
    </row>
    <row r="44" spans="9:13" x14ac:dyDescent="0.25">
      <c r="I44" s="4"/>
      <c r="J44" s="4"/>
      <c r="K44" s="5"/>
      <c r="L44" s="2"/>
      <c r="M44" s="2"/>
    </row>
    <row r="45" spans="9:13" x14ac:dyDescent="0.25">
      <c r="I45" s="4"/>
      <c r="J45" s="4"/>
      <c r="K45" s="5"/>
      <c r="L45" s="2"/>
      <c r="M45" s="2"/>
    </row>
    <row r="46" spans="9:13" x14ac:dyDescent="0.25">
      <c r="I46" s="4"/>
      <c r="J46" s="4"/>
      <c r="K46" s="5"/>
      <c r="L46" s="2"/>
      <c r="M46" s="2"/>
    </row>
    <row r="47" spans="9:13" x14ac:dyDescent="0.25">
      <c r="I47" s="4"/>
      <c r="J47" s="4"/>
      <c r="K47" s="5"/>
      <c r="L47" s="2"/>
      <c r="M47" s="2"/>
    </row>
    <row r="48" spans="9:13" x14ac:dyDescent="0.25">
      <c r="I48" s="3"/>
      <c r="J48" s="3"/>
      <c r="K48" s="3"/>
    </row>
  </sheetData>
  <sheetProtection password="870B" sheet="1" objects="1" scenarios="1" selectLockedCells="1"/>
  <mergeCells count="7">
    <mergeCell ref="C2:M2"/>
    <mergeCell ref="C3:M3"/>
    <mergeCell ref="M16:M17"/>
    <mergeCell ref="D11:E11"/>
    <mergeCell ref="G16:G17"/>
    <mergeCell ref="I16:I17"/>
    <mergeCell ref="K16:K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7"/>
  <sheetViews>
    <sheetView showGridLines="0" tabSelected="1" zoomScaleNormal="100" workbookViewId="0"/>
  </sheetViews>
  <sheetFormatPr defaultRowHeight="15" x14ac:dyDescent="0.25"/>
  <cols>
    <col min="1" max="1" width="6.7109375" customWidth="1"/>
    <col min="4" max="32" width="6.7109375" customWidth="1"/>
    <col min="33" max="38" width="4.7109375" customWidth="1"/>
  </cols>
  <sheetData>
    <row r="1" spans="1:27" ht="15" customHeight="1" x14ac:dyDescent="0.25">
      <c r="B1" s="19"/>
      <c r="C1" s="19"/>
      <c r="D1" s="19"/>
      <c r="E1" s="117" t="s">
        <v>11</v>
      </c>
      <c r="F1" s="118" t="s">
        <v>29</v>
      </c>
      <c r="G1" s="140" t="str">
        <f>'New RPD &amp; RPB'!D11</f>
        <v>Sydney Heads In</v>
      </c>
      <c r="H1" s="141"/>
      <c r="I1" s="141"/>
      <c r="J1" s="141"/>
      <c r="K1" s="141"/>
      <c r="L1" s="141"/>
      <c r="M1" s="141"/>
      <c r="N1" s="141"/>
      <c r="O1" s="146">
        <f>ABS('New RPD &amp; RPB'!H8)</f>
        <v>68</v>
      </c>
      <c r="P1" s="146"/>
      <c r="Q1" s="147" t="str">
        <f>IF('New RPD &amp; RPB'!H8&gt;0, "to Starboard","to Port")</f>
        <v>to Port</v>
      </c>
      <c r="R1" s="147"/>
      <c r="S1" s="147"/>
      <c r="T1" s="147"/>
      <c r="U1" s="19"/>
      <c r="V1" s="19"/>
      <c r="W1" s="121" t="s">
        <v>11</v>
      </c>
      <c r="X1" s="122" t="s">
        <v>29</v>
      </c>
      <c r="Z1" s="19"/>
      <c r="AA1" s="19"/>
    </row>
    <row r="2" spans="1:27" ht="15" customHeight="1" x14ac:dyDescent="0.25">
      <c r="B2" s="19"/>
      <c r="C2" s="19"/>
      <c r="D2" s="19"/>
      <c r="E2" s="119" t="s">
        <v>13</v>
      </c>
      <c r="F2" s="120" t="s">
        <v>14</v>
      </c>
      <c r="G2" s="141"/>
      <c r="H2" s="141"/>
      <c r="I2" s="141"/>
      <c r="J2" s="141"/>
      <c r="K2" s="141"/>
      <c r="L2" s="141"/>
      <c r="M2" s="141"/>
      <c r="N2" s="141"/>
      <c r="O2" s="146"/>
      <c r="P2" s="146"/>
      <c r="Q2" s="147"/>
      <c r="R2" s="147"/>
      <c r="S2" s="147"/>
      <c r="T2" s="147"/>
      <c r="U2" s="19"/>
      <c r="V2" s="19"/>
      <c r="W2" s="123" t="s">
        <v>13</v>
      </c>
      <c r="X2" s="124" t="s">
        <v>14</v>
      </c>
      <c r="Z2" s="19"/>
      <c r="AA2" s="19"/>
    </row>
    <row r="3" spans="1:27" ht="28.5" x14ac:dyDescent="0.45">
      <c r="B3" s="19"/>
      <c r="C3" s="19"/>
      <c r="D3" s="144" t="s">
        <v>27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9"/>
      <c r="AA3" s="19"/>
    </row>
    <row r="4" spans="1:27" ht="21" x14ac:dyDescent="0.35">
      <c r="B4" s="20">
        <v>6</v>
      </c>
      <c r="C4" s="20"/>
      <c r="D4" s="138">
        <f>B4-1</f>
        <v>5</v>
      </c>
      <c r="E4" s="139"/>
      <c r="F4" s="138">
        <f>D4-1</f>
        <v>4</v>
      </c>
      <c r="G4" s="139"/>
      <c r="H4" s="138">
        <f>F4-1</f>
        <v>3</v>
      </c>
      <c r="I4" s="139"/>
      <c r="J4" s="138">
        <f>H4-1</f>
        <v>2</v>
      </c>
      <c r="K4" s="139"/>
      <c r="L4" s="138">
        <f>J4-1</f>
        <v>1</v>
      </c>
      <c r="M4" s="139"/>
      <c r="N4" s="138">
        <f>L4-1</f>
        <v>0</v>
      </c>
      <c r="O4" s="139"/>
      <c r="P4" s="138">
        <f>N4-1</f>
        <v>-1</v>
      </c>
      <c r="Q4" s="139"/>
      <c r="R4" s="138">
        <f>P4-1</f>
        <v>-2</v>
      </c>
      <c r="S4" s="139"/>
      <c r="T4" s="138">
        <f>R4-1</f>
        <v>-3</v>
      </c>
      <c r="U4" s="139"/>
      <c r="V4" s="138">
        <f>T4-1</f>
        <v>-4</v>
      </c>
      <c r="W4" s="139"/>
      <c r="X4" s="138">
        <f>V4-1</f>
        <v>-5</v>
      </c>
      <c r="Y4" s="139"/>
      <c r="AA4" s="19"/>
    </row>
    <row r="5" spans="1:27" ht="21.75" thickBot="1" x14ac:dyDescent="0.4">
      <c r="B5" s="20"/>
      <c r="C5" s="116" t="s">
        <v>26</v>
      </c>
      <c r="D5" s="151">
        <f>MOD('New RPD &amp; RPB'!$E7-D4,360)</f>
        <v>215</v>
      </c>
      <c r="E5" s="152"/>
      <c r="F5" s="151">
        <f>MOD('New RPD &amp; RPB'!$E7-F4,360)</f>
        <v>216</v>
      </c>
      <c r="G5" s="152"/>
      <c r="H5" s="151">
        <f>MOD('New RPD &amp; RPB'!$E7-H4,360)</f>
        <v>217</v>
      </c>
      <c r="I5" s="152"/>
      <c r="J5" s="151">
        <f>MOD('New RPD &amp; RPB'!$E7-J4,360)</f>
        <v>218</v>
      </c>
      <c r="K5" s="152"/>
      <c r="L5" s="151">
        <f>MOD('New RPD &amp; RPB'!$E7-L4,360)</f>
        <v>219</v>
      </c>
      <c r="M5" s="152"/>
      <c r="N5" s="151">
        <f>MOD('New RPD &amp; RPB'!$E7-N4,360)</f>
        <v>220</v>
      </c>
      <c r="O5" s="152"/>
      <c r="P5" s="151">
        <f>MOD('New RPD &amp; RPB'!$E7-P4,360)</f>
        <v>221</v>
      </c>
      <c r="Q5" s="152"/>
      <c r="R5" s="151">
        <f>MOD('New RPD &amp; RPB'!$E7-R4,360)</f>
        <v>222</v>
      </c>
      <c r="S5" s="152"/>
      <c r="T5" s="151">
        <f>MOD('New RPD &amp; RPB'!$E7-T4,360)</f>
        <v>223</v>
      </c>
      <c r="U5" s="152"/>
      <c r="V5" s="151">
        <f>MOD('New RPD &amp; RPB'!$E7-V4,360)</f>
        <v>224</v>
      </c>
      <c r="W5" s="152"/>
      <c r="X5" s="151">
        <f>MOD('New RPD &amp; RPB'!$E7-X4,360)</f>
        <v>225</v>
      </c>
      <c r="Y5" s="152"/>
      <c r="AA5" s="19"/>
    </row>
    <row r="6" spans="1:27" ht="15" customHeight="1" thickTop="1" x14ac:dyDescent="0.25">
      <c r="A6" s="142" t="s">
        <v>28</v>
      </c>
      <c r="B6" s="148">
        <f>B4-1</f>
        <v>5</v>
      </c>
      <c r="C6" s="136">
        <f>MOD('New RPD &amp; RPB'!E$6-B6,360)</f>
        <v>283</v>
      </c>
      <c r="D6" s="23">
        <f>$D$31*$D$30/($D$30-D$4+$B6)</f>
        <v>0.65</v>
      </c>
      <c r="E6" s="24">
        <f>IF('New RPD &amp; RPB'!$H$8&gt;0,90,270)+(D$4+$B6)/2*$W$31</f>
        <v>276.00622707703189</v>
      </c>
      <c r="F6" s="103">
        <f>$D$31*$D$30/($D$30-F$4+$B6)</f>
        <v>0.65970149253731347</v>
      </c>
      <c r="G6" s="106">
        <f>IF('New RPD &amp; RPB'!$H$8&gt;0,90,270)+(F$4+$B6)/2*$W$31</f>
        <v>275.40560436932873</v>
      </c>
      <c r="H6" s="23">
        <f>$D$31*$D$30/($D$30-H$4+$B6)</f>
        <v>0.66969696969696979</v>
      </c>
      <c r="I6" s="24">
        <f>IF('New RPD &amp; RPB'!$H$8&gt;0,90,270)+(H$4+$B6)/2*$W$31</f>
        <v>274.8049816616255</v>
      </c>
      <c r="J6" s="103">
        <f>$D$31*$D$30/($D$30-J$4+$B6)</f>
        <v>0.68</v>
      </c>
      <c r="K6" s="106">
        <f>IF('New RPD &amp; RPB'!$H$8&gt;0,90,270)+(J$4+$B6)/2*$W$31</f>
        <v>274.20435895392234</v>
      </c>
      <c r="L6" s="23">
        <f>$D$31*$D$30/($D$30-L$4+$B6)</f>
        <v>0.69062500000000004</v>
      </c>
      <c r="M6" s="24">
        <f>IF('New RPD &amp; RPB'!$H$8&gt;0,90,270)+(L$4+$B6)/2*$W$31</f>
        <v>273.60373624621911</v>
      </c>
      <c r="N6" s="103">
        <f>$D$31*$D$30/($D$30-N$4+$B6)</f>
        <v>0.70158730158730165</v>
      </c>
      <c r="O6" s="106">
        <f>IF('New RPD &amp; RPB'!$H$8&gt;0,90,270)+(N$4+$B6)/2*$W$31</f>
        <v>273.00311353851595</v>
      </c>
      <c r="P6" s="23">
        <f>$D$31*$D$30/($D$30-P$4+$B6)</f>
        <v>0.71290322580645171</v>
      </c>
      <c r="Q6" s="24">
        <f>IF('New RPD &amp; RPB'!$H$8&gt;0,90,270)+(P$4+$B6)/2*$W$31</f>
        <v>272.40249083081278</v>
      </c>
      <c r="R6" s="103">
        <f>$D$31*$D$30/($D$30-R$4+$B6)</f>
        <v>0.72459016393442632</v>
      </c>
      <c r="S6" s="106">
        <f>IF('New RPD &amp; RPB'!$H$8&gt;0,90,270)+(R$4+$B6)/2*$W$31</f>
        <v>271.80186812310956</v>
      </c>
      <c r="T6" s="23">
        <f>$D$31*$D$30/($D$30-T$4+$B6)</f>
        <v>0.73666666666666669</v>
      </c>
      <c r="U6" s="24">
        <f>IF('New RPD &amp; RPB'!$H$8&gt;0,90,270)+(T$4+$B6)/2*$W$31</f>
        <v>271.20124541540639</v>
      </c>
      <c r="V6" s="103">
        <f>$D$31*$D$30/($D$30-V$4+$B6)</f>
        <v>0.74915254237288142</v>
      </c>
      <c r="W6" s="106">
        <f>IF('New RPD &amp; RPB'!$H$8&gt;0,90,270)+(V$4+$B6)/2*$W$31</f>
        <v>270.60062270770317</v>
      </c>
      <c r="X6" s="23">
        <f>$D$31*$D$30/($D$30-X$4+$B6)</f>
        <v>0.76206896551724146</v>
      </c>
      <c r="Y6" s="24">
        <f>IF('New RPD &amp; RPB'!$H$8&gt;0,90,270)+(X$4+$B6)/2*$W$31</f>
        <v>270</v>
      </c>
      <c r="AA6" s="19"/>
    </row>
    <row r="7" spans="1:27" ht="15" customHeight="1" thickBot="1" x14ac:dyDescent="0.3">
      <c r="A7" s="143"/>
      <c r="B7" s="149"/>
      <c r="C7" s="137"/>
      <c r="D7" s="25">
        <f>SQRT(POWER($F$30-($F$31+SIN(RADIANS(E6+$E$30-$B6))*D6),2)+POWER($G$30-($G$31+COS(RADIANS(E6+$E$30-$B6))*D6),2))</f>
        <v>0.91881671818392663</v>
      </c>
      <c r="E7" s="26">
        <f>MOD(DEGREES(ATAN2($G$30-($G$31+COS(RADIANS(E6+$E$30-$B6))*D6),$F$30-($F$31+SIN(RADIANS(E6+$E$30-$B6))*D6))),360)</f>
        <v>300.14187785856888</v>
      </c>
      <c r="F7" s="107">
        <f>SQRT(POWER($F$30-($F$31+SIN(RADIANS(G6+$E$30-$B6))*F6),2)+POWER($G$30-($G$31+COS(RADIANS(G6+$E$30-$B6))*F6),2))</f>
        <v>0.92750440100221243</v>
      </c>
      <c r="G7" s="108">
        <f>MOD(DEGREES(ATAN2($G$30-($G$31+COS(RADIANS(G6+$E$30-$B6))*F6),$F$30-($F$31+SIN(RADIANS(G6+$E$30-$B6))*F6))),360)</f>
        <v>300.64520033428812</v>
      </c>
      <c r="H7" s="25">
        <f>SQRT(POWER($F$30-($F$31+SIN(RADIANS(I6+$E$30-$B6))*H6),2)+POWER($G$30-($G$31+COS(RADIANS(I6+$E$30-$B6))*H6),2))</f>
        <v>0.93651255830455216</v>
      </c>
      <c r="I7" s="26">
        <f>MOD(DEGREES(ATAN2($G$30-($G$31+COS(RADIANS(I6+$E$30-$B6))*H6),$F$30-($F$31+SIN(RADIANS(I6+$E$30-$B6))*H6))),360)</f>
        <v>301.14957623356122</v>
      </c>
      <c r="J7" s="107">
        <f>SQRT(POWER($F$30-($F$31+SIN(RADIANS(K6+$E$30-$B6))*J6),2)+POWER($G$30-($G$31+COS(RADIANS(K6+$E$30-$B6))*J6),2))</f>
        <v>0.94585448392136673</v>
      </c>
      <c r="K7" s="108">
        <f>MOD(DEGREES(ATAN2($G$30-($G$31+COS(RADIANS(K6+$E$30-$B6))*J6),$F$30-($F$31+SIN(RADIANS(K6+$E$30-$B6))*J6))),360)</f>
        <v>301.6549808452279</v>
      </c>
      <c r="L7" s="25">
        <f>SQRT(POWER($F$30-($F$31+SIN(RADIANS(M6+$E$30-$B6))*L6),2)+POWER($G$30-($G$31+COS(RADIANS(M6+$E$30-$B6))*L6),2))</f>
        <v>0.95554430257072742</v>
      </c>
      <c r="M7" s="26">
        <f>MOD(DEGREES(ATAN2($G$30-($G$31+COS(RADIANS(M6+$E$30-$B6))*L6),$F$30-($F$31+SIN(RADIANS(M6+$E$30-$B6))*L6))),360)</f>
        <v>302.16139188774451</v>
      </c>
      <c r="N7" s="107">
        <f>SQRT(POWER($F$30-($F$31+SIN(RADIANS(O6+$E$30-$B6))*N6),2)+POWER($G$30-($G$31+COS(RADIANS(O6+$E$30-$B6))*N6),2))</f>
        <v>0.96559703712410672</v>
      </c>
      <c r="O7" s="108">
        <f>MOD(DEGREES(ATAN2($G$30-($G$31+COS(RADIANS(O6+$E$30-$B6))*N6),$F$30-($F$31+SIN(RADIANS(O6+$E$30-$B6))*N6))),360)</f>
        <v>302.66878959384144</v>
      </c>
      <c r="P7" s="25">
        <f>SQRT(POWER($F$30-($F$31+SIN(RADIANS(Q6+$E$30-$B6))*P6),2)+POWER($G$30-($G$31+COS(RADIANS(Q6+$E$30-$B6))*P6),2))</f>
        <v>0.97602868239120433</v>
      </c>
      <c r="Q7" s="26">
        <f>MOD(DEGREES(ATAN2($G$30-($G$31+COS(RADIANS(Q6+$E$30-$B6))*P6),$F$30-($F$31+SIN(RADIANS(Q6+$E$30-$B6))*P6))),360)</f>
        <v>303.17715679315972</v>
      </c>
      <c r="R7" s="107">
        <f>SQRT(POWER($F$30-($F$31+SIN(RADIANS(S6+$E$30-$B6))*R6),2)+POWER($G$30-($G$31+COS(RADIANS(S6+$E$30-$B6))*R6),2))</f>
        <v>0.98685628617062804</v>
      </c>
      <c r="S7" s="108">
        <f>MOD(DEGREES(ATAN2($G$30-($G$31+COS(RADIANS(S6+$E$30-$B6))*R6),$F$30-($F$31+SIN(RADIANS(S6+$E$30-$B6))*R6))),360)</f>
        <v>303.68647899281325</v>
      </c>
      <c r="T7" s="25">
        <f>SQRT(POWER($F$30-($F$31+SIN(RADIANS(U6+$E$30-$B6))*T6),2)+POWER($G$30-($G$31+COS(RADIANS(U6+$E$30-$B6))*T6),2))</f>
        <v>0.99809803841290612</v>
      </c>
      <c r="U7" s="26">
        <f>MOD(DEGREES(ATAN2($G$30-($G$31+COS(RADIANS(U6+$E$30-$B6))*T6),$F$30-($F$31+SIN(RADIANS(U6+$E$30-$B6))*T6))),360)</f>
        <v>304.1967444558336</v>
      </c>
      <c r="V7" s="107">
        <f>SQRT(POWER($F$30-($F$31+SIN(RADIANS(W6+$E$30-$B6))*V6),2)+POWER($G$30-($G$31+COS(RADIANS(W6+$E$30-$B6))*V6),2))</f>
        <v>1.0097733694571065</v>
      </c>
      <c r="W7" s="108">
        <f>MOD(DEGREES(ATAN2($G$30-($G$31+COS(RADIANS(W6+$E$30-$B6))*V6),$F$30-($F$31+SIN(RADIANS(W6+$E$30-$B6))*V6))),360)</f>
        <v>304.70794427746398</v>
      </c>
      <c r="X7" s="25">
        <f>SQRT(POWER($F$30-($F$31+SIN(RADIANS(Y6+$E$30-$B6))*X6),2)+POWER($G$30-($G$31+COS(RADIANS(Y6+$E$30-$B6))*X6),2))</f>
        <v>1.0219030584350193</v>
      </c>
      <c r="Y7" s="26">
        <f>MOD(DEGREES(ATAN2($G$30-($G$31+COS(RADIANS(Y6+$E$30-$B6))*X6),$F$30-($F$31+SIN(RADIANS(Y6+$E$30-$B6))*X6))),360)</f>
        <v>305.22007245927796</v>
      </c>
      <c r="AA7" s="19"/>
    </row>
    <row r="8" spans="1:27" ht="15" customHeight="1" thickTop="1" x14ac:dyDescent="0.25">
      <c r="A8" s="143"/>
      <c r="B8" s="148">
        <f>B6-1</f>
        <v>4</v>
      </c>
      <c r="C8" s="136">
        <f>MOD('New RPD &amp; RPB'!E$6-B8,360)</f>
        <v>284</v>
      </c>
      <c r="D8" s="104">
        <f>$D$31*$D$30/($D$30-D$4+$B8)</f>
        <v>0.64057971014492754</v>
      </c>
      <c r="E8" s="105">
        <f>IF('New RPD &amp; RPB'!$H$8&gt;0,90,270)+(D$4+$B8)/2*$W$31</f>
        <v>275.40560436932873</v>
      </c>
      <c r="F8" s="27">
        <f>$D$31*$D$30/($D$30-F$4+$B8)</f>
        <v>0.65</v>
      </c>
      <c r="G8" s="28">
        <f>IF('New RPD &amp; RPB'!$H$8&gt;0,90,270)+(F$4+$B8)/2*$W$31</f>
        <v>274.8049816616255</v>
      </c>
      <c r="H8" s="104">
        <f>$D$31*$D$30/($D$30-H$4+$B8)</f>
        <v>0.65970149253731347</v>
      </c>
      <c r="I8" s="105">
        <f>IF('New RPD &amp; RPB'!$H$8&gt;0,90,270)+(H$4+$B8)/2*$W$31</f>
        <v>274.20435895392234</v>
      </c>
      <c r="J8" s="27">
        <f>$D$31*$D$30/($D$30-J$4+$B8)</f>
        <v>0.66969696969696979</v>
      </c>
      <c r="K8" s="28">
        <f>IF('New RPD &amp; RPB'!$H$8&gt;0,90,270)+(J$4+$B8)/2*$W$31</f>
        <v>273.60373624621911</v>
      </c>
      <c r="L8" s="104">
        <f>$D$31*$D$30/($D$30-L$4+$B8)</f>
        <v>0.68</v>
      </c>
      <c r="M8" s="105">
        <f>IF('New RPD &amp; RPB'!$H$8&gt;0,90,270)+(L$4+$B8)/2*$W$31</f>
        <v>273.00311353851595</v>
      </c>
      <c r="N8" s="27">
        <f>$D$31*$D$30/($D$30-N$4+$B8)</f>
        <v>0.69062500000000004</v>
      </c>
      <c r="O8" s="28">
        <f>IF('New RPD &amp; RPB'!$H$8&gt;0,90,270)+(N$4+$B8)/2*$W$31</f>
        <v>272.40249083081278</v>
      </c>
      <c r="P8" s="104">
        <f>$D$31*$D$30/($D$30-P$4+$B8)</f>
        <v>0.70158730158730165</v>
      </c>
      <c r="Q8" s="105">
        <f>IF('New RPD &amp; RPB'!$H$8&gt;0,90,270)+(P$4+$B8)/2*$W$31</f>
        <v>271.80186812310956</v>
      </c>
      <c r="R8" s="27">
        <f>$D$31*$D$30/($D$30-R$4+$B8)</f>
        <v>0.71290322580645171</v>
      </c>
      <c r="S8" s="28">
        <f>IF('New RPD &amp; RPB'!$H$8&gt;0,90,270)+(R$4+$B8)/2*$W$31</f>
        <v>271.20124541540639</v>
      </c>
      <c r="T8" s="104">
        <f>$D$31*$D$30/($D$30-T$4+$B8)</f>
        <v>0.72459016393442632</v>
      </c>
      <c r="U8" s="105">
        <f>IF('New RPD &amp; RPB'!$H$8&gt;0,90,270)+(T$4+$B8)/2*$W$31</f>
        <v>270.60062270770317</v>
      </c>
      <c r="V8" s="27">
        <f>$D$31*$D$30/($D$30-V$4+$B8)</f>
        <v>0.73666666666666669</v>
      </c>
      <c r="W8" s="28">
        <f>IF('New RPD &amp; RPB'!$H$8&gt;0,90,270)+(V$4+$B8)/2*$W$31</f>
        <v>270</v>
      </c>
      <c r="X8" s="104">
        <f>$D$31*$D$30/($D$30-X$4+$B8)</f>
        <v>0.74915254237288142</v>
      </c>
      <c r="Y8" s="105">
        <f>IF('New RPD &amp; RPB'!$H$8&gt;0,90,270)+(X$4+$B8)/2*$W$31</f>
        <v>269.39937729229683</v>
      </c>
      <c r="AA8" s="19"/>
    </row>
    <row r="9" spans="1:27" ht="15" customHeight="1" thickBot="1" x14ac:dyDescent="0.3">
      <c r="A9" s="143"/>
      <c r="B9" s="149"/>
      <c r="C9" s="137"/>
      <c r="D9" s="101">
        <f>SQRT(POWER($F$30-($F$31+SIN(RADIANS(E8+$E$30-$B8))*D8),2)+POWER($G$30-($G$31+COS(RADIANS(E8+$E$30-$B8))*D8),2))</f>
        <v>0.91265194143799888</v>
      </c>
      <c r="E9" s="102">
        <f>MOD(DEGREES(ATAN2($G$30-($G$31+COS(RADIANS(E8+$E$30-$B8))*D8),$F$30-($F$31+SIN(RADIANS(E8+$E$30-$B8))*D8))),360)</f>
        <v>299.61478392437579</v>
      </c>
      <c r="F9" s="22">
        <f>SQRT(POWER($F$30-($F$31+SIN(RADIANS(G8+$E$30-$B8))*F8),2)+POWER($G$30-($G$31+COS(RADIANS(G8+$E$30-$B8))*F8),2))</f>
        <v>0.92105611962945377</v>
      </c>
      <c r="G9" s="21">
        <f>MOD(DEGREES(ATAN2($G$30-($G$31+COS(RADIANS(G8+$E$30-$B8))*F8),$F$30-($F$31+SIN(RADIANS(G8+$E$30-$B8))*F8))),360)</f>
        <v>300.11420427630776</v>
      </c>
      <c r="H9" s="101">
        <f>SQRT(POWER($F$30-($F$31+SIN(RADIANS(I8+$E$30-$B8))*H8),2)+POWER($G$30-($G$31+COS(RADIANS(I8+$E$30-$B8))*H8),2))</f>
        <v>0.92976812851455781</v>
      </c>
      <c r="I9" s="102">
        <f>MOD(DEGREES(ATAN2($G$30-($G$31+COS(RADIANS(I8+$E$30-$B8))*H8),$F$30-($F$31+SIN(RADIANS(I8+$E$30-$B8))*H8))),360)</f>
        <v>300.61468374551595</v>
      </c>
      <c r="J9" s="22">
        <f>SQRT(POWER($F$30-($F$31+SIN(RADIANS(K8+$E$30-$B8))*J8),2)+POWER($G$30-($G$31+COS(RADIANS(K8+$E$30-$B8))*J8),2))</f>
        <v>0.93880048820391382</v>
      </c>
      <c r="K9" s="21">
        <f>MOD(DEGREES(ATAN2($G$30-($G$31+COS(RADIANS(K8+$E$30-$B8))*J8),$F$30-($F$31+SIN(RADIANS(K8+$E$30-$B8))*J8))),360)</f>
        <v>301.11619650494475</v>
      </c>
      <c r="L9" s="101">
        <f>SQRT(POWER($F$30-($F$31+SIN(RADIANS(M8+$E$30-$B8))*L8),2)+POWER($G$30-($G$31+COS(RADIANS(M8+$E$30-$B8))*L8),2))</f>
        <v>0.94816648842517703</v>
      </c>
      <c r="M9" s="102">
        <f>MOD(DEGREES(ATAN2($G$30-($G$31+COS(RADIANS(M8+$E$30-$B8))*L8),$F$30-($F$31+SIN(RADIANS(M8+$E$30-$B8))*L8))),360)</f>
        <v>301.61871908124442</v>
      </c>
      <c r="N9" s="22">
        <f>SQRT(POWER($F$30-($F$31+SIN(RADIANS(O8+$E$30-$B8))*N8),2)+POWER($G$30-($G$31+COS(RADIANS(O8+$E$30-$B8))*N8),2))</f>
        <v>0.95788024993126997</v>
      </c>
      <c r="O9" s="21">
        <f>MOD(DEGREES(ATAN2($G$30-($G$31+COS(RADIANS(O8+$E$30-$B8))*N8),$F$30-($F$31+SIN(RADIANS(O8+$E$30-$B8))*N8))),360)</f>
        <v>302.12223043994692</v>
      </c>
      <c r="P9" s="101">
        <f>SQRT(POWER($F$30-($F$31+SIN(RADIANS(Q8+$E$30-$B8))*P8),2)+POWER($G$30-($G$31+COS(RADIANS(Q8+$E$30-$B8))*P8),2))</f>
        <v>0.96795679176705518</v>
      </c>
      <c r="Q9" s="102">
        <f>MOD(DEGREES(ATAN2($G$30-($G$31+COS(RADIANS(Q8+$E$30-$B8))*P8),$F$30-($F$31+SIN(RADIANS(Q8+$E$30-$B8))*P8))),360)</f>
        <v>302.62671206873432</v>
      </c>
      <c r="R9" s="22">
        <f>SQRT(POWER($F$30-($F$31+SIN(RADIANS(S8+$E$30-$B8))*R8),2)+POWER($G$30-($G$31+COS(RADIANS(S8+$E$30-$B8))*R8),2))</f>
        <v>0.97841210505459852</v>
      </c>
      <c r="S9" s="21">
        <f>MOD(DEGREES(ATAN2($G$30-($G$31+COS(RADIANS(S8+$E$30-$B8))*R8),$F$30-($F$31+SIN(RADIANS(S8+$E$30-$B8))*R8))),360)</f>
        <v>303.1321480587435</v>
      </c>
      <c r="T9" s="101">
        <f>SQRT(POWER($F$30-($F$31+SIN(RADIANS(U8+$E$30-$B8))*T8),2)+POWER($G$30-($G$31+COS(RADIANS(U8+$E$30-$B8))*T8),2))</f>
        <v>0.98926323404389405</v>
      </c>
      <c r="U9" s="102">
        <f>MOD(DEGREES(ATAN2($G$30-($G$31+COS(RADIANS(U8+$E$30-$B8))*T8),$F$30-($F$31+SIN(RADIANS(U8+$E$30-$B8))*T8))),360)</f>
        <v>303.63852518385897</v>
      </c>
      <c r="V9" s="22">
        <f>SQRT(POWER($F$30-($F$31+SIN(RADIANS(W8+$E$30-$B8))*V8),2)+POWER($G$30-($G$31+COS(RADIANS(W8+$E$30-$B8))*V8),2))</f>
        <v>1.0005283652754344</v>
      </c>
      <c r="W9" s="21">
        <f>MOD(DEGREES(ATAN2($G$30-($G$31+COS(RADIANS(W8+$E$30-$B8))*V8),$F$30-($F$31+SIN(RADIANS(W8+$E$30-$B8))*V8))),360)</f>
        <v>304.14583297795787</v>
      </c>
      <c r="X9" s="101">
        <f>SQRT(POWER($F$30-($F$31+SIN(RADIANS(Y8+$E$30-$B8))*X8),2)+POWER($G$30-($G$31+COS(RADIANS(Y8+$E$30-$B8))*X8),2))</f>
        <v>1.0122269258159771</v>
      </c>
      <c r="Y9" s="102">
        <f>MOD(DEGREES(ATAN2($G$30-($G$31+COS(RADIANS(Y8+$E$30-$B8))*X8),$F$30-($F$31+SIN(RADIANS(Y8+$E$30-$B8))*X8))),360)</f>
        <v>304.6540638100787</v>
      </c>
      <c r="AA9" s="19"/>
    </row>
    <row r="10" spans="1:27" ht="15" customHeight="1" thickTop="1" x14ac:dyDescent="0.25">
      <c r="A10" s="143"/>
      <c r="B10" s="148">
        <f>B8-1</f>
        <v>3</v>
      </c>
      <c r="C10" s="136">
        <f>MOD('New RPD &amp; RPB'!E$6-B10,360)</f>
        <v>285</v>
      </c>
      <c r="D10" s="23">
        <f>$D$31*$D$30/($D$30-D$4+$B10)</f>
        <v>0.63142857142857145</v>
      </c>
      <c r="E10" s="24">
        <f>IF('New RPD &amp; RPB'!$H$8&gt;0,90,270)+(D$4+$B10)/2*$W$31</f>
        <v>274.8049816616255</v>
      </c>
      <c r="F10" s="103">
        <f>$D$31*$D$30/($D$30-F$4+$B10)</f>
        <v>0.64057971014492754</v>
      </c>
      <c r="G10" s="106">
        <f>IF('New RPD &amp; RPB'!$H$8&gt;0,90,270)+(F$4+$B10)/2*$W$31</f>
        <v>274.20435895392234</v>
      </c>
      <c r="H10" s="23">
        <f>$D$31*$D$30/($D$30-H$4+$B10)</f>
        <v>0.65</v>
      </c>
      <c r="I10" s="24">
        <f>IF('New RPD &amp; RPB'!$H$8&gt;0,90,270)+(H$4+$B10)/2*$W$31</f>
        <v>273.60373624621911</v>
      </c>
      <c r="J10" s="103">
        <f>$D$31*$D$30/($D$30-J$4+$B10)</f>
        <v>0.65970149253731347</v>
      </c>
      <c r="K10" s="106">
        <f>IF('New RPD &amp; RPB'!$H$8&gt;0,90,270)+(J$4+$B10)/2*$W$31</f>
        <v>273.00311353851595</v>
      </c>
      <c r="L10" s="23">
        <f>$D$31*$D$30/($D$30-L$4+$B10)</f>
        <v>0.66969696969696979</v>
      </c>
      <c r="M10" s="24">
        <f>IF('New RPD &amp; RPB'!$H$8&gt;0,90,270)+(L$4+$B10)/2*$W$31</f>
        <v>272.40249083081278</v>
      </c>
      <c r="N10" s="103">
        <f>$D$31*$D$30/($D$30-N$4+$B10)</f>
        <v>0.68</v>
      </c>
      <c r="O10" s="106">
        <f>IF('New RPD &amp; RPB'!$H$8&gt;0,90,270)+(N$4+$B10)/2*$W$31</f>
        <v>271.80186812310956</v>
      </c>
      <c r="P10" s="23">
        <f>$D$31*$D$30/($D$30-P$4+$B10)</f>
        <v>0.69062500000000004</v>
      </c>
      <c r="Q10" s="24">
        <f>IF('New RPD &amp; RPB'!$H$8&gt;0,90,270)+(P$4+$B10)/2*$W$31</f>
        <v>271.20124541540639</v>
      </c>
      <c r="R10" s="103">
        <f>$D$31*$D$30/($D$30-R$4+$B10)</f>
        <v>0.70158730158730165</v>
      </c>
      <c r="S10" s="106">
        <f>IF('New RPD &amp; RPB'!$H$8&gt;0,90,270)+(R$4+$B10)/2*$W$31</f>
        <v>270.60062270770317</v>
      </c>
      <c r="T10" s="23">
        <f>$D$31*$D$30/($D$30-T$4+$B10)</f>
        <v>0.71290322580645171</v>
      </c>
      <c r="U10" s="24">
        <f>IF('New RPD &amp; RPB'!$H$8&gt;0,90,270)+(T$4+$B10)/2*$W$31</f>
        <v>270</v>
      </c>
      <c r="V10" s="103">
        <f>$D$31*$D$30/($D$30-V$4+$B10)</f>
        <v>0.72459016393442632</v>
      </c>
      <c r="W10" s="106">
        <f>IF('New RPD &amp; RPB'!$H$8&gt;0,90,270)+(V$4+$B10)/2*$W$31</f>
        <v>269.39937729229683</v>
      </c>
      <c r="X10" s="23">
        <f>$D$31*$D$30/($D$30-X$4+$B10)</f>
        <v>0.73666666666666669</v>
      </c>
      <c r="Y10" s="24">
        <f>IF('New RPD &amp; RPB'!$H$8&gt;0,90,270)+(X$4+$B10)/2*$W$31</f>
        <v>268.79875458459361</v>
      </c>
      <c r="AA10" s="19"/>
    </row>
    <row r="11" spans="1:27" ht="15" customHeight="1" thickBot="1" x14ac:dyDescent="0.3">
      <c r="A11" s="143"/>
      <c r="B11" s="149"/>
      <c r="C11" s="137"/>
      <c r="D11" s="25">
        <f>SQRT(POWER($F$30-($F$31+SIN(RADIANS(E10+$E$30-$B10))*D10),2)+POWER($G$30-($G$31+COS(RADIANS(E10+$E$30-$B10))*D10),2))</f>
        <v>0.90673308560575239</v>
      </c>
      <c r="E11" s="26">
        <f>MOD(DEGREES(ATAN2($G$30-($G$31+COS(RADIANS(E10+$E$30-$B10))*D10),$F$30-($F$31+SIN(RADIANS(E10+$E$30-$B10))*D10))),360)</f>
        <v>299.09401841043314</v>
      </c>
      <c r="F11" s="107">
        <f>SQRT(POWER($F$30-($F$31+SIN(RADIANS(G10+$E$30-$B10))*F10),2)+POWER($G$30-($G$31+COS(RADIANS(G10+$E$30-$B10))*F10),2))</f>
        <v>0.91486567093248539</v>
      </c>
      <c r="G11" s="108">
        <f>MOD(DEGREES(ATAN2($G$30-($G$31+COS(RADIANS(G10+$E$30-$B10))*F10),$F$30-($F$31+SIN(RADIANS(G10+$E$30-$B10))*F10))),360)</f>
        <v>299.58956519651667</v>
      </c>
      <c r="H11" s="25">
        <f>SQRT(POWER($F$30-($F$31+SIN(RADIANS(I10+$E$30-$B10))*H10),2)+POWER($G$30-($G$31+COS(RADIANS(I10+$E$30-$B10))*H10),2))</f>
        <v>0.92329416615797888</v>
      </c>
      <c r="I11" s="26">
        <f>MOD(DEGREES(ATAN2($G$30-($G$31+COS(RADIANS(I10+$E$30-$B10))*H10),$F$30-($F$31+SIN(RADIANS(I10+$E$30-$B10))*H10))),360)</f>
        <v>300.08617693237329</v>
      </c>
      <c r="J11" s="107">
        <f>SQRT(POWER($F$30-($F$31+SIN(RADIANS(K10+$E$30-$B10))*J10),2)+POWER($G$30-($G$31+COS(RADIANS(K10+$E$30-$B10))*J10),2))</f>
        <v>0.93203037365454777</v>
      </c>
      <c r="K11" s="108">
        <f>MOD(DEGREES(ATAN2($G$30-($G$31+COS(RADIANS(K10+$E$30-$B10))*J10),$F$30-($F$31+SIN(RADIANS(K10+$E$30-$B10))*J10))),360)</f>
        <v>300.58382671876751</v>
      </c>
      <c r="L11" s="25">
        <f>SQRT(POWER($F$30-($F$31+SIN(RADIANS(M10+$E$30-$B10))*L10),2)+POWER($G$30-($G$31+COS(RADIANS(M10+$E$30-$B10))*L10),2))</f>
        <v>0.94108680941088185</v>
      </c>
      <c r="M11" s="26">
        <f>MOD(DEGREES(ATAN2($G$30-($G$31+COS(RADIANS(M10+$E$30-$B10))*L10),$F$30-($F$31+SIN(RADIANS(M10+$E$30-$B10))*L10))),360)</f>
        <v>301.08248993462934</v>
      </c>
      <c r="N11" s="107">
        <f>SQRT(POWER($F$30-($F$31+SIN(RADIANS(O10+$E$30-$B10))*N10),2)+POWER($G$30-($G$31+COS(RADIANS(O10+$E$30-$B10))*N10),2))</f>
        <v>0.95047675916813368</v>
      </c>
      <c r="O11" s="108">
        <f>MOD(DEGREES(ATAN2($G$30-($G$31+COS(RADIANS(O10+$E$30-$B10))*N10),$F$30-($F$31+SIN(RADIANS(O10+$E$30-$B10))*N10))),360)</f>
        <v>301.58214432263134</v>
      </c>
      <c r="P11" s="25">
        <f>SQRT(POWER($F$30-($F$31+SIN(RADIANS(Q10+$E$30-$B10))*P10),2)+POWER($G$30-($G$31+COS(RADIANS(Q10+$E$30-$B10))*P10),2))</f>
        <v>0.9602143398293409</v>
      </c>
      <c r="Q11" s="26">
        <f>MOD(DEGREES(ATAN2($G$30-($G$31+COS(RADIANS(Q10+$E$30-$B10))*P10),$F$30-($F$31+SIN(RADIANS(Q10+$E$30-$B10))*P10))),360)</f>
        <v>302.08277007296937</v>
      </c>
      <c r="R11" s="107">
        <f>SQRT(POWER($F$30-($F$31+SIN(RADIANS(S10+$E$30-$B10))*R10),2)+POWER($G$30-($G$31+COS(RADIANS(S10+$E$30-$B10))*R10),2))</f>
        <v>0.97031456672686311</v>
      </c>
      <c r="S11" s="108">
        <f>MOD(DEGREES(ATAN2($G$30-($G$31+COS(RADIANS(S10+$E$30-$B10))*R10),$F$30-($F$31+SIN(RADIANS(S10+$E$30-$B10))*R10))),360)</f>
        <v>302.5843499052873</v>
      </c>
      <c r="T11" s="25">
        <f>SQRT(POWER($F$30-($F$31+SIN(RADIANS(U10+$E$30-$B10))*T10),2)+POWER($G$30-($G$31+COS(RADIANS(U10+$E$30-$B10))*T10),2))</f>
        <v>0.98079342740800712</v>
      </c>
      <c r="U11" s="26">
        <f>MOD(DEGREES(ATAN2($G$30-($G$31+COS(RADIANS(U10+$E$30-$B10))*T10),$F$30-($F$31+SIN(RADIANS(U10+$E$30-$B10))*T10))),360)</f>
        <v>303.08686914869463</v>
      </c>
      <c r="V11" s="107">
        <f>SQRT(POWER($F$30-($F$31+SIN(RADIANS(W10+$E$30-$B10))*V10),2)+POWER($G$30-($G$31+COS(RADIANS(W10+$E$30-$B10))*V10),2))</f>
        <v>0.9916679626856445</v>
      </c>
      <c r="W11" s="108">
        <f>MOD(DEGREES(ATAN2($G$30-($G$31+COS(RADIANS(W10+$E$30-$B10))*V10),$F$30-($F$31+SIN(RADIANS(W10+$E$30-$B10))*V10))),360)</f>
        <v>303.59031581983623</v>
      </c>
      <c r="X11" s="25">
        <f>SQRT(POWER($F$30-($F$31+SIN(RADIANS(Y10+$E$30-$B10))*X10),2)+POWER($G$30-($G$31+COS(RADIANS(Y10+$E$30-$B10))*X10),2))</f>
        <v>1.002956355800287</v>
      </c>
      <c r="Y11" s="26">
        <f>MOD(DEGREES(ATAN2($G$30-($G$31+COS(RADIANS(Y10+$E$30-$B10))*X10),$F$30-($F$31+SIN(RADIANS(Y10+$E$30-$B10))*X10))),360)</f>
        <v>304.09468069898344</v>
      </c>
      <c r="AA11" s="19"/>
    </row>
    <row r="12" spans="1:27" ht="15" customHeight="1" thickTop="1" x14ac:dyDescent="0.25">
      <c r="A12" s="143"/>
      <c r="B12" s="148">
        <f>B10-1</f>
        <v>2</v>
      </c>
      <c r="C12" s="136">
        <f>MOD('New RPD &amp; RPB'!E$6-B12,360)</f>
        <v>286</v>
      </c>
      <c r="D12" s="104">
        <f>$D$31*$D$30/($D$30-D$4+$B12)</f>
        <v>0.62253521126760569</v>
      </c>
      <c r="E12" s="105">
        <f>IF('New RPD &amp; RPB'!$H$8&gt;0,90,270)+(D$4+$B12)/2*$W$31</f>
        <v>274.20435895392234</v>
      </c>
      <c r="F12" s="27">
        <f>$D$31*$D$30/($D$30-F$4+$B12)</f>
        <v>0.63142857142857145</v>
      </c>
      <c r="G12" s="28">
        <f>IF('New RPD &amp; RPB'!$H$8&gt;0,90,270)+(F$4+$B12)/2*$W$31</f>
        <v>273.60373624621911</v>
      </c>
      <c r="H12" s="104">
        <f>$D$31*$D$30/($D$30-H$4+$B12)</f>
        <v>0.64057971014492754</v>
      </c>
      <c r="I12" s="105">
        <f>IF('New RPD &amp; RPB'!$H$8&gt;0,90,270)+(H$4+$B12)/2*$W$31</f>
        <v>273.00311353851595</v>
      </c>
      <c r="J12" s="27">
        <f>$D$31*$D$30/($D$30-J$4+$B12)</f>
        <v>0.65</v>
      </c>
      <c r="K12" s="28">
        <f>IF('New RPD &amp; RPB'!$H$8&gt;0,90,270)+(J$4+$B12)/2*$W$31</f>
        <v>272.40249083081278</v>
      </c>
      <c r="L12" s="104">
        <f>$D$31*$D$30/($D$30-L$4+$B12)</f>
        <v>0.65970149253731347</v>
      </c>
      <c r="M12" s="105">
        <f>IF('New RPD &amp; RPB'!$H$8&gt;0,90,270)+(L$4+$B12)/2*$W$31</f>
        <v>271.80186812310956</v>
      </c>
      <c r="N12" s="27">
        <f>$D$31*$D$30/($D$30-N$4+$B12)</f>
        <v>0.66969696969696979</v>
      </c>
      <c r="O12" s="28">
        <f>IF('New RPD &amp; RPB'!$H$8&gt;0,90,270)+(N$4+$B12)/2*$W$31</f>
        <v>271.20124541540639</v>
      </c>
      <c r="P12" s="104">
        <f>$D$31*$D$30/($D$30-P$4+$B12)</f>
        <v>0.68</v>
      </c>
      <c r="Q12" s="105">
        <f>IF('New RPD &amp; RPB'!$H$8&gt;0,90,270)+(P$4+$B12)/2*$W$31</f>
        <v>270.60062270770317</v>
      </c>
      <c r="R12" s="27">
        <f>$D$31*$D$30/($D$30-R$4+$B12)</f>
        <v>0.69062500000000004</v>
      </c>
      <c r="S12" s="28">
        <f>IF('New RPD &amp; RPB'!$H$8&gt;0,90,270)+(R$4+$B12)/2*$W$31</f>
        <v>270</v>
      </c>
      <c r="T12" s="104">
        <f>$D$31*$D$30/($D$30-T$4+$B12)</f>
        <v>0.70158730158730165</v>
      </c>
      <c r="U12" s="105">
        <f>IF('New RPD &amp; RPB'!$H$8&gt;0,90,270)+(T$4+$B12)/2*$W$31</f>
        <v>269.39937729229683</v>
      </c>
      <c r="V12" s="27">
        <f>$D$31*$D$30/($D$30-V$4+$B12)</f>
        <v>0.71290322580645171</v>
      </c>
      <c r="W12" s="28">
        <f>IF('New RPD &amp; RPB'!$H$8&gt;0,90,270)+(V$4+$B12)/2*$W$31</f>
        <v>268.79875458459361</v>
      </c>
      <c r="X12" s="104">
        <f>$D$31*$D$30/($D$30-X$4+$B12)</f>
        <v>0.72459016393442632</v>
      </c>
      <c r="Y12" s="105">
        <f>IF('New RPD &amp; RPB'!$H$8&gt;0,90,270)+(X$4+$B12)/2*$W$31</f>
        <v>268.19813187689044</v>
      </c>
      <c r="AA12" s="19"/>
    </row>
    <row r="13" spans="1:27" ht="15" customHeight="1" thickBot="1" x14ac:dyDescent="0.3">
      <c r="A13" s="143"/>
      <c r="B13" s="149"/>
      <c r="C13" s="137"/>
      <c r="D13" s="101">
        <f>SQRT(POWER($F$30-($F$31+SIN(RADIANS(E12+$E$30-$B12))*D12),2)+POWER($G$30-($G$31+COS(RADIANS(E12+$E$30-$B12))*D12),2))</f>
        <v>0.90104904079823245</v>
      </c>
      <c r="E13" s="102">
        <f>MOD(DEGREES(ATAN2($G$30-($G$31+COS(RADIANS(E12+$E$30-$B12))*D12),$F$30-($F$31+SIN(RADIANS(E12+$E$30-$B12))*D12))),360)</f>
        <v>298.57950731357226</v>
      </c>
      <c r="F13" s="22">
        <f>SQRT(POWER($F$30-($F$31+SIN(RADIANS(G12+$E$30-$B12))*F12),2)+POWER($G$30-($G$31+COS(RADIANS(G12+$E$30-$B12))*F12),2))</f>
        <v>0.90892126784546368</v>
      </c>
      <c r="G13" s="21">
        <f>MOD(DEGREES(ATAN2($G$30-($G$31+COS(RADIANS(G12+$E$30-$B12))*F12),$F$30-($F$31+SIN(RADIANS(G12+$E$30-$B12))*F12))),360)</f>
        <v>299.07120946256248</v>
      </c>
      <c r="H13" s="101">
        <f>SQRT(POWER($F$30-($F$31+SIN(RADIANS(I12+$E$30-$B12))*H12),2)+POWER($G$30-($G$31+COS(RADIANS(I12+$E$30-$B12))*H12),2))</f>
        <v>0.91707815565326767</v>
      </c>
      <c r="I13" s="102">
        <f>MOD(DEGREES(ATAN2($G$30-($G$31+COS(RADIANS(I12+$E$30-$B12))*H12),$F$30-($F$31+SIN(RADIANS(I12+$E$30-$B12))*H12))),360)</f>
        <v>299.56398253636161</v>
      </c>
      <c r="J13" s="22">
        <f>SQRT(POWER($F$30-($F$31+SIN(RADIANS(K12+$E$30-$B12))*J12),2)+POWER($G$30-($G$31+COS(RADIANS(K12+$E$30-$B12))*J12),2))</f>
        <v>0.92553084008809816</v>
      </c>
      <c r="K13" s="21">
        <f>MOD(DEGREES(ATAN2($G$30-($G$31+COS(RADIANS(K12+$E$30-$B12))*J12),$F$30-($F$31+SIN(RADIANS(K12+$E$30-$B12))*J12))),360)</f>
        <v>300.05779860701512</v>
      </c>
      <c r="L13" s="101">
        <f>SQRT(POWER($F$30-($F$31+SIN(RADIANS(M12+$E$30-$B12))*L12),2)+POWER($G$30-($G$31+COS(RADIANS(M12+$E$30-$B12))*L12),2))</f>
        <v>0.93429111938242171</v>
      </c>
      <c r="M13" s="102">
        <f>MOD(DEGREES(ATAN2($G$30-($G$31+COS(RADIANS(M12+$E$30-$B12))*L12),$F$30-($F$31+SIN(RADIANS(M12+$E$30-$B12))*L12))),360)</f>
        <v>300.55263194965363</v>
      </c>
      <c r="N13" s="22">
        <f>SQRT(POWER($F$30-($F$31+SIN(RADIANS(O12+$E$30-$B12))*N12),2)+POWER($G$30-($G$31+COS(RADIANS(O12+$E$30-$B12))*N12),2))</f>
        <v>0.94337150551812166</v>
      </c>
      <c r="O13" s="21">
        <f>MOD(DEGREES(ATAN2($G$30-($G$31+COS(RADIANS(O12+$E$30-$B12))*N12),$F$30-($F$31+SIN(RADIANS(O12+$E$30-$B12))*N12))),360)</f>
        <v>301.04845912835935</v>
      </c>
      <c r="P13" s="101">
        <f>SQRT(POWER($F$30-($F$31+SIN(RADIANS(Q12+$E$30-$B12))*P12),2)+POWER($G$30-($G$31+COS(RADIANS(Q12+$E$30-$B12))*P12),2))</f>
        <v>0.9527852803640926</v>
      </c>
      <c r="Q13" s="102">
        <f>MOD(DEGREES(ATAN2($G$30-($G$31+COS(RADIANS(Q12+$E$30-$B12))*P12),$F$30-($F$31+SIN(RADIANS(Q12+$E$30-$B12))*P12))),360)</f>
        <v>301.54525908034543</v>
      </c>
      <c r="R13" s="22">
        <f>SQRT(POWER($F$30-($F$31+SIN(RADIANS(S12+$E$30-$B12))*R12),2)+POWER($G$30-($G$31+COS(RADIANS(S12+$E$30-$B12))*R12),2))</f>
        <v>0.96254655708671821</v>
      </c>
      <c r="S13" s="21">
        <f>MOD(DEGREES(ATAN2($G$30-($G$31+COS(RADIANS(S12+$E$30-$B12))*R12),$F$30-($F$31+SIN(RADIANS(S12+$E$30-$B12))*R12))),360)</f>
        <v>302.04301319838532</v>
      </c>
      <c r="T13" s="101">
        <f>SQRT(POWER($F$30-($F$31+SIN(RADIANS(U12+$E$30-$B12))*T12),2)+POWER($G$30-($G$31+COS(RADIANS(U12+$E$30-$B12))*T12),2))</f>
        <v>0.97267034741797875</v>
      </c>
      <c r="U13" s="102">
        <f>MOD(DEGREES(ATAN2($G$30-($G$31+COS(RADIANS(U12+$E$30-$B12))*T12),$F$30-($F$31+SIN(RADIANS(U12+$E$30-$B12))*T12))),360)</f>
        <v>302.54170541143685</v>
      </c>
      <c r="V13" s="22">
        <f>SQRT(POWER($F$30-($F$31+SIN(RADIANS(W12+$E$30-$B12))*V12),2)+POWER($G$30-($G$31+COS(RADIANS(W12+$E$30-$B12))*V12),2))</f>
        <v>0.98317263544129985</v>
      </c>
      <c r="W13" s="21">
        <f>MOD(DEGREES(ATAN2($G$30-($G$31+COS(RADIANS(W12+$E$30-$B12))*V12),$F$30-($F$31+SIN(RADIANS(W12+$E$30-$B12))*V12))),360)</f>
        <v>303.0413222634171</v>
      </c>
      <c r="X13" s="101">
        <f>SQRT(POWER($F$30-($F$31+SIN(RADIANS(Y12+$E$30-$B12))*X12),2)+POWER($G$30-($G$31+COS(RADIANS(Y12+$E$30-$B12))*X12),2))</f>
        <v>0.99407045864199683</v>
      </c>
      <c r="Y13" s="102">
        <f>MOD(DEGREES(ATAN2($G$30-($G$31+COS(RADIANS(Y12+$E$30-$B12))*X12),$F$30-($F$31+SIN(RADIANS(Y12+$E$30-$B12))*X12))),360)</f>
        <v>303.54185299009333</v>
      </c>
      <c r="AA13" s="19"/>
    </row>
    <row r="14" spans="1:27" ht="15" customHeight="1" thickTop="1" x14ac:dyDescent="0.25">
      <c r="A14" s="143"/>
      <c r="B14" s="148">
        <f>B12-1</f>
        <v>1</v>
      </c>
      <c r="C14" s="136">
        <f>MOD('New RPD &amp; RPB'!E$6-B14,360)</f>
        <v>287</v>
      </c>
      <c r="D14" s="23">
        <f>$D$31*$D$30/($D$30-D$4+$B14)</f>
        <v>0.61388888888888893</v>
      </c>
      <c r="E14" s="24">
        <f>IF('New RPD &amp; RPB'!$H$8&gt;0,90,270)+(D$4+$B14)/2*$W$31</f>
        <v>273.60373624621911</v>
      </c>
      <c r="F14" s="103">
        <f>$D$31*$D$30/($D$30-F$4+$B14)</f>
        <v>0.62253521126760569</v>
      </c>
      <c r="G14" s="106">
        <f>IF('New RPD &amp; RPB'!$H$8&gt;0,90,270)+(F$4+$B14)/2*$W$31</f>
        <v>273.00311353851595</v>
      </c>
      <c r="H14" s="23">
        <f>$D$31*$D$30/($D$30-H$4+$B14)</f>
        <v>0.63142857142857145</v>
      </c>
      <c r="I14" s="24">
        <f>IF('New RPD &amp; RPB'!$H$8&gt;0,90,270)+(H$4+$B14)/2*$W$31</f>
        <v>272.40249083081278</v>
      </c>
      <c r="J14" s="103">
        <f>$D$31*$D$30/($D$30-J$4+$B14)</f>
        <v>0.64057971014492754</v>
      </c>
      <c r="K14" s="106">
        <f>IF('New RPD &amp; RPB'!$H$8&gt;0,90,270)+(J$4+$B14)/2*$W$31</f>
        <v>271.80186812310956</v>
      </c>
      <c r="L14" s="23">
        <f>$D$31*$D$30/($D$30-L$4+$B14)</f>
        <v>0.65</v>
      </c>
      <c r="M14" s="24">
        <f>IF('New RPD &amp; RPB'!$H$8&gt;0,90,270)+(L$4+$B14)/2*$W$31</f>
        <v>271.20124541540639</v>
      </c>
      <c r="N14" s="103">
        <f>$D$31*$D$30/($D$30-N$4+$B14)</f>
        <v>0.65970149253731347</v>
      </c>
      <c r="O14" s="106">
        <f>IF('New RPD &amp; RPB'!$H$8&gt;0,90,270)+(N$4+$B14)/2*$W$31</f>
        <v>270.60062270770317</v>
      </c>
      <c r="P14" s="23">
        <f>$D$31*$D$30/($D$30-P$4+$B14)</f>
        <v>0.66969696969696979</v>
      </c>
      <c r="Q14" s="24">
        <f>IF('New RPD &amp; RPB'!$H$8&gt;0,90,270)+(P$4+$B14)/2*$W$31</f>
        <v>270</v>
      </c>
      <c r="R14" s="103">
        <f>$D$31*$D$30/($D$30-R$4+$B14)</f>
        <v>0.68</v>
      </c>
      <c r="S14" s="106">
        <f>IF('New RPD &amp; RPB'!$H$8&gt;0,90,270)+(R$4+$B14)/2*$W$31</f>
        <v>269.39937729229683</v>
      </c>
      <c r="T14" s="23">
        <f>$D$31*$D$30/($D$30-T$4+$B14)</f>
        <v>0.69062500000000004</v>
      </c>
      <c r="U14" s="24">
        <f>IF('New RPD &amp; RPB'!$H$8&gt;0,90,270)+(T$4+$B14)/2*$W$31</f>
        <v>268.79875458459361</v>
      </c>
      <c r="V14" s="103">
        <f>$D$31*$D$30/($D$30-V$4+$B14)</f>
        <v>0.70158730158730165</v>
      </c>
      <c r="W14" s="106">
        <f>IF('New RPD &amp; RPB'!$H$8&gt;0,90,270)+(V$4+$B14)/2*$W$31</f>
        <v>268.19813187689044</v>
      </c>
      <c r="X14" s="23">
        <f>$D$31*$D$30/($D$30-X$4+$B14)</f>
        <v>0.71290322580645171</v>
      </c>
      <c r="Y14" s="24">
        <f>IF('New RPD &amp; RPB'!$H$8&gt;0,90,270)+(X$4+$B14)/2*$W$31</f>
        <v>267.59750916918722</v>
      </c>
      <c r="AA14" s="19"/>
    </row>
    <row r="15" spans="1:27" ht="15.75" customHeight="1" thickBot="1" x14ac:dyDescent="0.3">
      <c r="A15" s="143"/>
      <c r="B15" s="149"/>
      <c r="C15" s="137"/>
      <c r="D15" s="25">
        <f>SQRT(POWER($F$30-($F$31+SIN(RADIANS(E14+$E$30-$B14))*D14),2)+POWER($G$30-($G$31+COS(RADIANS(E14+$E$30-$B14))*D14),2))</f>
        <v>0.8955893320406394</v>
      </c>
      <c r="E15" s="26">
        <f>MOD(DEGREES(ATAN2($G$30-($G$31+COS(RADIANS(E14+$E$30-$B14))*D14),$F$30-($F$31+SIN(RADIANS(E14+$E$30-$B14))*D14))),360)</f>
        <v>298.07117629165725</v>
      </c>
      <c r="F15" s="107">
        <f>SQRT(POWER($F$30-($F$31+SIN(RADIANS(G14+$E$30-$B14))*F14),2)+POWER($G$30-($G$31+COS(RADIANS(G14+$E$30-$B14))*F14),2))</f>
        <v>0.90321180549274205</v>
      </c>
      <c r="G15" s="108">
        <f>MOD(DEGREES(ATAN2($G$30-($G$31+COS(RADIANS(G14+$E$30-$B14))*F14),$F$30-($F$31+SIN(RADIANS(G14+$E$30-$B14))*F14))),360)</f>
        <v>298.55906304593935</v>
      </c>
      <c r="H15" s="25">
        <f>SQRT(POWER($F$30-($F$31+SIN(RADIANS(I14+$E$30-$B14))*H14),2)+POWER($G$30-($G$31+COS(RADIANS(I14+$E$30-$B14))*H14),2))</f>
        <v>0.91110831517429858</v>
      </c>
      <c r="I15" s="26">
        <f>MOD(DEGREES(ATAN2($G$30-($G$31+COS(RADIANS(I14+$E$30-$B14))*H14),$F$30-($F$31+SIN(RADIANS(I14+$E$30-$B14))*H14))),360)</f>
        <v>299.04802684532126</v>
      </c>
      <c r="J15" s="107">
        <f>SQRT(POWER($F$30-($F$31+SIN(RADIANS(K14+$E$30-$B14))*J14),2)+POWER($G$30-($G$31+COS(RADIANS(K14+$E$30-$B14))*J14),2))</f>
        <v>0.91928937739114391</v>
      </c>
      <c r="K15" s="108">
        <f>MOD(DEGREES(ATAN2($G$30-($G$31+COS(RADIANS(K14+$E$30-$B14))*J14),$F$30-($F$31+SIN(RADIANS(K14+$E$30-$B14))*J14))),360)</f>
        <v>299.53803877627479</v>
      </c>
      <c r="L15" s="25">
        <f>SQRT(POWER($F$30-($F$31+SIN(RADIANS(M14+$E$30-$B14))*L14),2)+POWER($G$30-($G$31+COS(RADIANS(M14+$E$30-$B14))*L14),2))</f>
        <v>0.92776612385316892</v>
      </c>
      <c r="M15" s="26">
        <f>MOD(DEGREES(ATAN2($G$30-($G$31+COS(RADIANS(M14+$E$30-$B14))*L14),$F$30-($F$31+SIN(RADIANS(M14+$E$30-$B14))*L14))),360)</f>
        <v>300.02907205381882</v>
      </c>
      <c r="N15" s="107">
        <f>SQRT(POWER($F$30-($F$31+SIN(RADIANS(O14+$E$30-$B14))*N14),2)+POWER($G$30-($G$31+COS(RADIANS(O14+$E$30-$B14))*N14),2))</f>
        <v>0.93655034876683807</v>
      </c>
      <c r="O15" s="108">
        <f>MOD(DEGREES(ATAN2($G$30-($G$31+COS(RADIANS(O14+$E$30-$B14))*N14),$F$30-($F$31+SIN(RADIANS(O14+$E$30-$B14))*N14))),360)</f>
        <v>300.52110210756967</v>
      </c>
      <c r="P15" s="25">
        <f>SQRT(POWER($F$30-($F$31+SIN(RADIANS(Q14+$E$30-$B14))*P14),2)+POWER($G$30-($G$31+COS(RADIANS(Q14+$E$30-$B14))*P14),2))</f>
        <v>0.94565456022034533</v>
      </c>
      <c r="Q15" s="26">
        <f>MOD(DEGREES(ATAN2($G$30-($G$31+COS(RADIANS(Q14+$E$30-$B14))*P14),$F$30-($F$31+SIN(RADIANS(Q14+$E$30-$B14))*P14))),360)</f>
        <v>301.01410666621155</v>
      </c>
      <c r="R15" s="107">
        <f>SQRT(POWER($F$30-($F$31+SIN(RADIANS(S14+$E$30-$B14))*R14),2)+POWER($G$30-($G$31+COS(RADIANS(S14+$E$30-$B14))*R14),2))</f>
        <v>0.95509203632256223</v>
      </c>
      <c r="S15" s="108">
        <f>MOD(DEGREES(ATAN2($G$30-($G$31+COS(RADIANS(S14+$E$30-$B14))*R14),$F$30-($F$31+SIN(RADIANS(S14+$E$30-$B14))*R14))),360)</f>
        <v>301.50806584031966</v>
      </c>
      <c r="T15" s="25">
        <f>SQRT(POWER($F$30-($F$31+SIN(RADIANS(U14+$E$30-$B14))*T14),2)+POWER($G$30-($G$31+COS(RADIANS(U14+$E$30-$B14))*T14),2))</f>
        <v>0.96487688661447668</v>
      </c>
      <c r="U15" s="26">
        <f>MOD(DEGREES(ATAN2($G$30-($G$31+COS(RADIANS(U14+$E$30-$B14))*T14),$F$30-($F$31+SIN(RADIANS(U14+$E$30-$B14))*T14))),360)</f>
        <v>302.00296220347934</v>
      </c>
      <c r="V15" s="107">
        <f>SQRT(POWER($F$30-($F$31+SIN(RADIANS(W14+$E$30-$B14))*V14),2)+POWER($G$30-($G$31+COS(RADIANS(W14+$E$30-$B14))*V14),2))</f>
        <v>0.97502411933783151</v>
      </c>
      <c r="W15" s="108">
        <f>MOD(DEGREES(ATAN2($G$30-($G$31+COS(RADIANS(W14+$E$30-$B14))*V14),$F$30-($F$31+SIN(RADIANS(W14+$E$30-$B14))*V14))),360)</f>
        <v>302.49878087165166</v>
      </c>
      <c r="X15" s="25">
        <f>SQRT(POWER($F$30-($F$31+SIN(RADIANS(Y14+$E$30-$B14))*X14),2)+POWER($G$30-($G$31+COS(RADIANS(Y14+$E$30-$B14))*X14),2))</f>
        <v>0.98554971522112689</v>
      </c>
      <c r="Y15" s="26">
        <f>MOD(DEGREES(ATAN2($G$30-($G$31+COS(RADIANS(Y14+$E$30-$B14))*X14),$F$30-($F$31+SIN(RADIANS(Y14+$E$30-$B14))*X14))),360)</f>
        <v>302.99550958074849</v>
      </c>
      <c r="AA15" s="19"/>
    </row>
    <row r="16" spans="1:27" ht="15.75" customHeight="1" thickTop="1" x14ac:dyDescent="0.25">
      <c r="A16" s="143"/>
      <c r="B16" s="148">
        <f>B14-1</f>
        <v>0</v>
      </c>
      <c r="C16" s="136">
        <f>MOD('New RPD &amp; RPB'!E$6-B16,360)</f>
        <v>288</v>
      </c>
      <c r="D16" s="104">
        <f>$D$31*$D$30/($D$30-D$4+$B16)</f>
        <v>0.60547945205479459</v>
      </c>
      <c r="E16" s="105">
        <f>IF('New RPD &amp; RPB'!$H$8&gt;0,90,270)+(D$4+$B16)/2*$W$31</f>
        <v>273.00311353851595</v>
      </c>
      <c r="F16" s="27">
        <f>$D$31*$D$30/($D$30-F$4+$B16)</f>
        <v>0.61388888888888893</v>
      </c>
      <c r="G16" s="28">
        <f>IF('New RPD &amp; RPB'!$H$8&gt;0,90,270)+(F$4+$B16)/2*$W$31</f>
        <v>272.40249083081278</v>
      </c>
      <c r="H16" s="104">
        <f>$D$31*$D$30/($D$30-H$4+$B16)</f>
        <v>0.62253521126760569</v>
      </c>
      <c r="I16" s="105">
        <f>IF('New RPD &amp; RPB'!$H$8&gt;0,90,270)+(H$4+$B16)/2*$W$31</f>
        <v>271.80186812310956</v>
      </c>
      <c r="J16" s="27">
        <f>$D$31*$D$30/($D$30-J$4+$B16)</f>
        <v>0.63142857142857145</v>
      </c>
      <c r="K16" s="28">
        <f>IF('New RPD &amp; RPB'!$H$8&gt;0,90,270)+(J$4+$B16)/2*$W$31</f>
        <v>271.20124541540639</v>
      </c>
      <c r="L16" s="104">
        <f>$D$31*$D$30/($D$30-L$4+$B16)</f>
        <v>0.64057971014492754</v>
      </c>
      <c r="M16" s="105">
        <f>IF('New RPD &amp; RPB'!$H$8&gt;0,90,270)+(L$4+$B16)/2*$W$31</f>
        <v>270.60062270770317</v>
      </c>
      <c r="N16" s="27">
        <f>$D$31*$D$30/($D$30-N$4+$B16)</f>
        <v>0.65</v>
      </c>
      <c r="O16" s="28">
        <f>IF('New RPD &amp; RPB'!$H$8&gt;0,90,270)+(N$4+$B16)/2*$W$31</f>
        <v>270</v>
      </c>
      <c r="P16" s="104">
        <f>$D$31*$D$30/($D$30-P$4+$B16)</f>
        <v>0.65970149253731347</v>
      </c>
      <c r="Q16" s="105">
        <f>IF('New RPD &amp; RPB'!$H$8&gt;0,90,270)+(P$4+$B16)/2*$W$31</f>
        <v>269.39937729229683</v>
      </c>
      <c r="R16" s="27">
        <f>$D$31*$D$30/($D$30-R$4+$B16)</f>
        <v>0.66969696969696979</v>
      </c>
      <c r="S16" s="28">
        <f>IF('New RPD &amp; RPB'!$H$8&gt;0,90,270)+(R$4+$B16)/2*$W$31</f>
        <v>268.79875458459361</v>
      </c>
      <c r="T16" s="104">
        <f>$D$31*$D$30/($D$30-T$4+$B16)</f>
        <v>0.68</v>
      </c>
      <c r="U16" s="105">
        <f>IF('New RPD &amp; RPB'!$H$8&gt;0,90,270)+(T$4+$B16)/2*$W$31</f>
        <v>268.19813187689044</v>
      </c>
      <c r="V16" s="27">
        <f>$D$31*$D$30/($D$30-V$4+$B16)</f>
        <v>0.69062500000000004</v>
      </c>
      <c r="W16" s="28">
        <f>IF('New RPD &amp; RPB'!$H$8&gt;0,90,270)+(V$4+$B16)/2*$W$31</f>
        <v>267.59750916918722</v>
      </c>
      <c r="X16" s="104">
        <f>$D$31*$D$30/($D$30-X$4+$B16)</f>
        <v>0.70158730158730165</v>
      </c>
      <c r="Y16" s="105">
        <f>IF('New RPD &amp; RPB'!$H$8&gt;0,90,270)+(X$4+$B16)/2*$W$31</f>
        <v>266.99688646148405</v>
      </c>
      <c r="AA16" s="19"/>
    </row>
    <row r="17" spans="1:27" ht="15.75" customHeight="1" thickBot="1" x14ac:dyDescent="0.3">
      <c r="A17" s="143"/>
      <c r="B17" s="149"/>
      <c r="C17" s="137"/>
      <c r="D17" s="101">
        <f>SQRT(POWER($F$30-($F$31+SIN(RADIANS(E16+$E$30-$B16))*D16),2)+POWER($G$30-($G$31+COS(RADIANS(E16+$E$30-$B16))*D16),2))</f>
        <v>0.89034407555051731</v>
      </c>
      <c r="E17" s="102">
        <f>MOD(DEGREES(ATAN2($G$30-($G$31+COS(RADIANS(E16+$E$30-$B16))*D16),$F$30-($F$31+SIN(RADIANS(E16+$E$30-$B16))*D16))),360)</f>
        <v>297.56895077067088</v>
      </c>
      <c r="F17" s="22">
        <f>SQRT(POWER($F$30-($F$31+SIN(RADIANS(G16+$E$30-$B16))*F16),2)+POWER($G$30-($G$31+COS(RADIANS(G16+$E$30-$B16))*F16),2))</f>
        <v>0.89772681358216122</v>
      </c>
      <c r="G17" s="21">
        <f>MOD(DEGREES(ATAN2($G$30-($G$31+COS(RADIANS(G16+$E$30-$B16))*F16),$F$30-($F$31+SIN(RADIANS(G16+$E$30-$B16))*F16))),360)</f>
        <v>298.05305163258157</v>
      </c>
      <c r="H17" s="101">
        <f>SQRT(POWER($F$30-($F$31+SIN(RADIANS(I16+$E$30-$B16))*H16),2)+POWER($G$30-($G$31+COS(RADIANS(I16+$E$30-$B16))*H16),2))</f>
        <v>0.9053735447474659</v>
      </c>
      <c r="I17" s="102">
        <f>MOD(DEGREES(ATAN2($G$30-($G$31+COS(RADIANS(I16+$E$30-$B16))*H16),$F$30-($F$31+SIN(RADIANS(I16+$E$30-$B16))*H16))),360)</f>
        <v>298.53823580687168</v>
      </c>
      <c r="J17" s="22">
        <f>SQRT(POWER($F$30-($F$31+SIN(RADIANS(K16+$E$30-$B16))*J16),2)+POWER($G$30-($G$31+COS(RADIANS(K16+$E$30-$B16))*J16),2))</f>
        <v>0.91329420886099089</v>
      </c>
      <c r="K17" s="21">
        <f>MOD(DEGREES(ATAN2($G$30-($G$31+COS(RADIANS(K16+$E$30-$B16))*J16),$F$30-($F$31+SIN(RADIANS(K16+$E$30-$B16))*J16))),360)</f>
        <v>299.02447343721195</v>
      </c>
      <c r="L17" s="101">
        <f>SQRT(POWER($F$30-($F$31+SIN(RADIANS(M16+$E$30-$B16))*L16),2)+POWER($G$30-($G$31+COS(RADIANS(M16+$E$30-$B16))*L16),2))</f>
        <v>0.92149931805656016</v>
      </c>
      <c r="M17" s="102">
        <f>MOD(DEGREES(ATAN2($G$30-($G$31+COS(RADIANS(M16+$E$30-$B16))*L16),$F$30-($F$31+SIN(RADIANS(M16+$E$30-$B16))*L16))),360)</f>
        <v>299.511736721901</v>
      </c>
      <c r="N17" s="22">
        <f>SQRT(POWER($F$30-($F$31+SIN(RADIANS(O16+$E$30-$B16))*N16),2)+POWER($G$30-($G$31+COS(RADIANS(O16+$E$30-$B16))*N16),2))</f>
        <v>0.93000000000000016</v>
      </c>
      <c r="O17" s="21">
        <f>MOD(DEGREES(ATAN2($G$30-($G$31+COS(RADIANS(O16+$E$30-$B16))*N16),$F$30-($F$31+SIN(RADIANS(O16+$E$30-$B16))*N16))),360)</f>
        <v>300</v>
      </c>
      <c r="P17" s="101">
        <f>SQRT(POWER($F$30-($F$31+SIN(RADIANS(Q16+$E$30-$B16))*P16),2)+POWER($G$30-($G$31+COS(RADIANS(Q16+$E$30-$B16))*P16),2))</f>
        <v>0.93880804498364445</v>
      </c>
      <c r="Q17" s="102">
        <f>MOD(DEGREES(ATAN2($G$30-($G$31+COS(RADIANS(Q16+$E$30-$B16))*P16),$F$30-($F$31+SIN(RADIANS(Q16+$E$30-$B16))*P16))),360)</f>
        <v>300.48923983599127</v>
      </c>
      <c r="R17" s="22">
        <f>SQRT(POWER($F$30-($F$31+SIN(RADIANS(S16+$E$30-$B16))*R16),2)+POWER($G$30-($G$31+COS(RADIANS(S16+$E$30-$B16))*R16),2))</f>
        <v>0.94793595731314229</v>
      </c>
      <c r="S17" s="21">
        <f>MOD(DEGREES(ATAN2($G$30-($G$31+COS(RADIANS(S16+$E$30-$B16))*R16),$F$30-($F$31+SIN(RADIANS(S16+$E$30-$B16))*R16))),360)</f>
        <v>300.97943510289144</v>
      </c>
      <c r="T17" s="101">
        <f>SQRT(POWER($F$30-($F$31+SIN(RADIANS(U16+$E$30-$B16))*T16),2)+POWER($G$30-($G$31+COS(RADIANS(U16+$E$30-$B16))*T16),2))</f>
        <v>0.95739701144761624</v>
      </c>
      <c r="U17" s="102">
        <f>MOD(DEGREES(ATAN2($G$30-($G$31+COS(RADIANS(U16+$E$30-$B16))*T16),$F$30-($F$31+SIN(RADIANS(U16+$E$30-$B16))*T16))),360)</f>
        <v>301.4705670637581</v>
      </c>
      <c r="V17" s="22">
        <f>SQRT(POWER($F$30-($F$31+SIN(RADIANS(W16+$E$30-$B16))*V16),2)+POWER($G$30-($G$31+COS(RADIANS(W16+$E$30-$B16))*V16),2))</f>
        <v>0.9672053134119627</v>
      </c>
      <c r="W17" s="21">
        <f>MOD(DEGREES(ATAN2($G$30-($G$31+COS(RADIANS(W16+$E$30-$B16))*V16),$F$30-($F$31+SIN(RADIANS(W16+$E$30-$B16))*V16))),360)</f>
        <v>301.96261945153839</v>
      </c>
      <c r="X17" s="101">
        <f>SQRT(POWER($F$30-($F$31+SIN(RADIANS(Y16+$E$30-$B16))*X16),2)+POWER($G$30-($G$31+COS(RADIANS(Y16+$E$30-$B16))*X16),2))</f>
        <v>0.97737586806590715</v>
      </c>
      <c r="Y17" s="102">
        <f>MOD(DEGREES(ATAN2($G$30-($G$31+COS(RADIANS(Y16+$E$30-$B16))*X16),$F$30-($F$31+SIN(RADIANS(Y16+$E$30-$B16))*X16))),360)</f>
        <v>302.45557854721835</v>
      </c>
      <c r="AA17" s="19"/>
    </row>
    <row r="18" spans="1:27" ht="15.75" customHeight="1" thickTop="1" x14ac:dyDescent="0.25">
      <c r="A18" s="143"/>
      <c r="B18" s="148">
        <f>B16-1</f>
        <v>-1</v>
      </c>
      <c r="C18" s="136">
        <f>MOD('New RPD &amp; RPB'!E$6-B18,360)</f>
        <v>289</v>
      </c>
      <c r="D18" s="23">
        <f>$D$31*$D$30/($D$30-D$4+$B18)</f>
        <v>0.5972972972972973</v>
      </c>
      <c r="E18" s="24">
        <f>IF('New RPD &amp; RPB'!$H$8&gt;0,90,270)+(D$4+$B18)/2*$W$31</f>
        <v>272.40249083081278</v>
      </c>
      <c r="F18" s="103">
        <f>$D$31*$D$30/($D$30-F$4+$B18)</f>
        <v>0.60547945205479459</v>
      </c>
      <c r="G18" s="106">
        <f>IF('New RPD &amp; RPB'!$H$8&gt;0,90,270)+(F$4+$B18)/2*$W$31</f>
        <v>271.80186812310956</v>
      </c>
      <c r="H18" s="23">
        <f>$D$31*$D$30/($D$30-H$4+$B18)</f>
        <v>0.61388888888888893</v>
      </c>
      <c r="I18" s="24">
        <f>IF('New RPD &amp; RPB'!$H$8&gt;0,90,270)+(H$4+$B18)/2*$W$31</f>
        <v>271.20124541540639</v>
      </c>
      <c r="J18" s="103">
        <f>$D$31*$D$30/($D$30-J$4+$B18)</f>
        <v>0.62253521126760569</v>
      </c>
      <c r="K18" s="106">
        <f>IF('New RPD &amp; RPB'!$H$8&gt;0,90,270)+(J$4+$B18)/2*$W$31</f>
        <v>270.60062270770317</v>
      </c>
      <c r="L18" s="23">
        <f>$D$31*$D$30/($D$30-L$4+$B18)</f>
        <v>0.63142857142857145</v>
      </c>
      <c r="M18" s="24">
        <f>IF('New RPD &amp; RPB'!$H$8&gt;0,90,270)+(L$4+$B18)/2*$W$31</f>
        <v>270</v>
      </c>
      <c r="N18" s="103">
        <f>$D$31*$D$30/($D$30-N$4+$B18)</f>
        <v>0.64057971014492754</v>
      </c>
      <c r="O18" s="106">
        <f>IF('New RPD &amp; RPB'!$H$8&gt;0,90,270)+(N$4+$B18)/2*$W$31</f>
        <v>269.39937729229683</v>
      </c>
      <c r="P18" s="23">
        <f>$D$31*$D$30/($D$30-P$4+$B18)</f>
        <v>0.65</v>
      </c>
      <c r="Q18" s="24">
        <f>IF('New RPD &amp; RPB'!$H$8&gt;0,90,270)+(P$4+$B18)/2*$W$31</f>
        <v>268.79875458459361</v>
      </c>
      <c r="R18" s="103">
        <f>$D$31*$D$30/($D$30-R$4+$B18)</f>
        <v>0.65970149253731347</v>
      </c>
      <c r="S18" s="106">
        <f>IF('New RPD &amp; RPB'!$H$8&gt;0,90,270)+(R$4+$B18)/2*$W$31</f>
        <v>268.19813187689044</v>
      </c>
      <c r="T18" s="23">
        <f>$D$31*$D$30/($D$30-T$4+$B18)</f>
        <v>0.66969696969696979</v>
      </c>
      <c r="U18" s="24">
        <f>IF('New RPD &amp; RPB'!$H$8&gt;0,90,270)+(T$4+$B18)/2*$W$31</f>
        <v>267.59750916918722</v>
      </c>
      <c r="V18" s="103">
        <f>$D$31*$D$30/($D$30-V$4+$B18)</f>
        <v>0.68</v>
      </c>
      <c r="W18" s="106">
        <f>IF('New RPD &amp; RPB'!$H$8&gt;0,90,270)+(V$4+$B18)/2*$W$31</f>
        <v>266.99688646148405</v>
      </c>
      <c r="X18" s="23">
        <f>$D$31*$D$30/($D$30-X$4+$B18)</f>
        <v>0.69062500000000004</v>
      </c>
      <c r="Y18" s="24">
        <f>IF('New RPD &amp; RPB'!$H$8&gt;0,90,270)+(X$4+$B18)/2*$W$31</f>
        <v>266.39626375378089</v>
      </c>
      <c r="AA18" s="19"/>
    </row>
    <row r="19" spans="1:27" ht="15" customHeight="1" thickBot="1" x14ac:dyDescent="0.3">
      <c r="A19" s="143"/>
      <c r="B19" s="149"/>
      <c r="C19" s="137"/>
      <c r="D19" s="25">
        <f>SQRT(POWER($F$30-($F$31+SIN(RADIANS(E18+$E$30-$B18))*D18),2)+POWER($G$30-($G$31+COS(RADIANS(E18+$E$30-$B18))*D18),2))</f>
        <v>0.88530393854730904</v>
      </c>
      <c r="E19" s="26">
        <f>MOD(DEGREES(ATAN2($G$30-($G$31+COS(RADIANS(E18+$E$30-$B18))*D18),$F$30-($F$31+SIN(RADIANS(E18+$E$30-$B18))*D18))),360)</f>
        <v>297.0727560448978</v>
      </c>
      <c r="F19" s="107">
        <f>SQRT(POWER($F$30-($F$31+SIN(RADIANS(G18+$E$30-$B18))*F18),2)+POWER($G$30-($G$31+COS(RADIANS(G18+$E$30-$B18))*F18),2))</f>
        <v>0.89245641269662024</v>
      </c>
      <c r="G19" s="108">
        <f>MOD(DEGREES(ATAN2($G$30-($G$31+COS(RADIANS(G18+$E$30-$B18))*F18),$F$30-($F$31+SIN(RADIANS(G18+$E$30-$B18))*F18))),360)</f>
        <v>297.55310072642521</v>
      </c>
      <c r="H19" s="25">
        <f>SQRT(POWER($F$30-($F$31+SIN(RADIANS(I18+$E$30-$B18))*H18),2)+POWER($G$30-($G$31+COS(RADIANS(I18+$E$30-$B18))*H18),2))</f>
        <v>0.8998633786583955</v>
      </c>
      <c r="I19" s="26">
        <f>MOD(DEGREES(ATAN2($G$30-($G$31+COS(RADIANS(I18+$E$30-$B18))*H18),$F$30-($F$31+SIN(RADIANS(I18+$E$30-$B18))*H18))),360)</f>
        <v>298.03453513541575</v>
      </c>
      <c r="J19" s="107">
        <f>SQRT(POWER($F$30-($F$31+SIN(RADIANS(K18+$E$30-$B18))*J18),2)+POWER($G$30-($G$31+COS(RADIANS(K18+$E$30-$B18))*J18),2))</f>
        <v>0.90753423931625798</v>
      </c>
      <c r="K19" s="108">
        <f>MOD(DEGREES(ATAN2($G$30-($G$31+COS(RADIANS(K18+$E$30-$B18))*J18),$F$30-($F$31+SIN(RADIANS(K18+$E$30-$B18))*J18))),360)</f>
        <v>298.51702851508639</v>
      </c>
      <c r="L19" s="25">
        <f>SQRT(POWER($F$30-($F$31+SIN(RADIANS(M18+$E$30-$B18))*L18),2)+POWER($G$30-($G$31+COS(RADIANS(M18+$E$30-$B18))*L18),2))</f>
        <v>0.9154789302985944</v>
      </c>
      <c r="M19" s="26">
        <f>MOD(DEGREES(ATAN2($G$30-($G$31+COS(RADIANS(M18+$E$30-$B18))*L18),$F$30-($F$31+SIN(RADIANS(M18+$E$30-$B18))*L18))),360)</f>
        <v>299.00055209005234</v>
      </c>
      <c r="N19" s="107">
        <f>SQRT(POWER($F$30-($F$31+SIN(RADIANS(O18+$E$30-$B18))*N18),2)+POWER($G$30-($G$31+COS(RADIANS(O18+$E$30-$B18))*N18),2))</f>
        <v>0.92370795967826091</v>
      </c>
      <c r="O19" s="108">
        <f>MOD(DEGREES(ATAN2($G$30-($G$31+COS(RADIANS(O18+$E$30-$B18))*N18),$F$30-($F$31+SIN(RADIANS(O18+$E$30-$B18))*N18))),360)</f>
        <v>299.48507915245148</v>
      </c>
      <c r="P19" s="25">
        <f>SQRT(POWER($F$30-($F$31+SIN(RADIANS(Q18+$E$30-$B18))*P18),2)+POWER($G$30-($G$31+COS(RADIANS(Q18+$E$30-$B18))*P18),2))</f>
        <v>0.93223245118756282</v>
      </c>
      <c r="Q19" s="26">
        <f>MOD(DEGREES(ATAN2($G$30-($G$31+COS(RADIANS(Q18+$E$30-$B18))*P18),$F$30-($F$31+SIN(RADIANS(Q18+$E$30-$B18))*P18))),360)</f>
        <v>299.97058514669402</v>
      </c>
      <c r="R19" s="107">
        <f>SQRT(POWER($F$30-($F$31+SIN(RADIANS(S18+$E$30-$B18))*R18),2)+POWER($G$30-($G$31+COS(RADIANS(S18+$E$30-$B18))*R18),2))</f>
        <v>0.94106419131465302</v>
      </c>
      <c r="S19" s="108">
        <f>MOD(DEGREES(ATAN2($G$30-($G$31+COS(RADIANS(S18+$E$30-$B18))*R18),$F$30-($F$31+SIN(RADIANS(S18+$E$30-$B18))*R18))),360)</f>
        <v>300.45704775276664</v>
      </c>
      <c r="T19" s="25">
        <f>SQRT(POWER($F$30-($F$31+SIN(RADIANS(U18+$E$30-$B18))*T18),2)+POWER($G$30-($G$31+COS(RADIANS(U18+$E$30-$B18))*T18),2))</f>
        <v>0.95021568069182905</v>
      </c>
      <c r="U19" s="26">
        <f>MOD(DEGREES(ATAN2($G$30-($G$31+COS(RADIANS(U18+$E$30-$B18))*T18),$F$30-($F$31+SIN(RADIANS(U18+$E$30-$B18))*T18))),360)</f>
        <v>300.94444696802577</v>
      </c>
      <c r="V19" s="107">
        <f>SQRT(POWER($F$30-($F$31+SIN(RADIANS(W18+$E$30-$B18))*V18),2)+POWER($G$30-($G$31+COS(RADIANS(W18+$E$30-$B18))*V18),2))</f>
        <v>0.95970019023682107</v>
      </c>
      <c r="W19" s="108">
        <f>MOD(DEGREES(ATAN2($G$30-($G$31+COS(RADIANS(W18+$E$30-$B18))*V18),$F$30-($F$31+SIN(RADIANS(W18+$E$30-$B18))*V18))),360)</f>
        <v>301.43276518742618</v>
      </c>
      <c r="X19" s="25">
        <f>SQRT(POWER($F$30-($F$31+SIN(RADIANS(Y18+$E$30-$B18))*X18),2)+POWER($G$30-($G$31+COS(RADIANS(Y18+$E$30-$B18))*X18),2))</f>
        <v>0.96953182256580528</v>
      </c>
      <c r="Y19" s="26">
        <f>MOD(DEGREES(ATAN2($G$30-($G$31+COS(RADIANS(Y18+$E$30-$B18))*X18),$F$30-($F$31+SIN(RADIANS(Y18+$E$30-$B18))*X18))),360)</f>
        <v>301.92198728213896</v>
      </c>
      <c r="AA19" s="19"/>
    </row>
    <row r="20" spans="1:27" ht="15" customHeight="1" thickTop="1" x14ac:dyDescent="0.25">
      <c r="A20" s="143"/>
      <c r="B20" s="148">
        <f>B18-1</f>
        <v>-2</v>
      </c>
      <c r="C20" s="136">
        <f>MOD('New RPD &amp; RPB'!E$6-B20,360)</f>
        <v>290</v>
      </c>
      <c r="D20" s="104">
        <f>$D$31*$D$30/($D$30-D$4+$B20)</f>
        <v>0.58933333333333338</v>
      </c>
      <c r="E20" s="105">
        <f>IF('New RPD &amp; RPB'!$H$8&gt;0,90,270)+(D$4+$B20)/2*$W$31</f>
        <v>271.80186812310956</v>
      </c>
      <c r="F20" s="27">
        <f>$D$31*$D$30/($D$30-F$4+$B20)</f>
        <v>0.5972972972972973</v>
      </c>
      <c r="G20" s="28">
        <f>IF('New RPD &amp; RPB'!$H$8&gt;0,90,270)+(F$4+$B20)/2*$W$31</f>
        <v>271.20124541540639</v>
      </c>
      <c r="H20" s="104">
        <f>$D$31*$D$30/($D$30-H$4+$B20)</f>
        <v>0.60547945205479459</v>
      </c>
      <c r="I20" s="105">
        <f>IF('New RPD &amp; RPB'!$H$8&gt;0,90,270)+(H$4+$B20)/2*$W$31</f>
        <v>270.60062270770317</v>
      </c>
      <c r="J20" s="27">
        <f>$D$31*$D$30/($D$30-J$4+$B20)</f>
        <v>0.61388888888888893</v>
      </c>
      <c r="K20" s="28">
        <f>IF('New RPD &amp; RPB'!$H$8&gt;0,90,270)+(J$4+$B20)/2*$W$31</f>
        <v>270</v>
      </c>
      <c r="L20" s="104">
        <f>$D$31*$D$30/($D$30-L$4+$B20)</f>
        <v>0.62253521126760569</v>
      </c>
      <c r="M20" s="105">
        <f>IF('New RPD &amp; RPB'!$H$8&gt;0,90,270)+(L$4+$B20)/2*$W$31</f>
        <v>269.39937729229683</v>
      </c>
      <c r="N20" s="27">
        <f>$D$31*$D$30/($D$30-N$4+$B20)</f>
        <v>0.63142857142857145</v>
      </c>
      <c r="O20" s="28">
        <f>IF('New RPD &amp; RPB'!$H$8&gt;0,90,270)+(N$4+$B20)/2*$W$31</f>
        <v>268.79875458459361</v>
      </c>
      <c r="P20" s="104">
        <f>$D$31*$D$30/($D$30-P$4+$B20)</f>
        <v>0.64057971014492754</v>
      </c>
      <c r="Q20" s="105">
        <f>IF('New RPD &amp; RPB'!$H$8&gt;0,90,270)+(P$4+$B20)/2*$W$31</f>
        <v>268.19813187689044</v>
      </c>
      <c r="R20" s="27">
        <f>$D$31*$D$30/($D$30-R$4+$B20)</f>
        <v>0.65</v>
      </c>
      <c r="S20" s="28">
        <f>IF('New RPD &amp; RPB'!$H$8&gt;0,90,270)+(R$4+$B20)/2*$W$31</f>
        <v>267.59750916918722</v>
      </c>
      <c r="T20" s="104">
        <f>$D$31*$D$30/($D$30-T$4+$B20)</f>
        <v>0.65970149253731347</v>
      </c>
      <c r="U20" s="105">
        <f>IF('New RPD &amp; RPB'!$H$8&gt;0,90,270)+(T$4+$B20)/2*$W$31</f>
        <v>266.99688646148405</v>
      </c>
      <c r="V20" s="27">
        <f>$D$31*$D$30/($D$30-V$4+$B20)</f>
        <v>0.66969696969696979</v>
      </c>
      <c r="W20" s="28">
        <f>IF('New RPD &amp; RPB'!$H$8&gt;0,90,270)+(V$4+$B20)/2*$W$31</f>
        <v>266.39626375378089</v>
      </c>
      <c r="X20" s="104">
        <f>$D$31*$D$30/($D$30-X$4+$B20)</f>
        <v>0.68</v>
      </c>
      <c r="Y20" s="105">
        <f>IF('New RPD &amp; RPB'!$H$8&gt;0,90,270)+(X$4+$B20)/2*$W$31</f>
        <v>265.79564104607766</v>
      </c>
      <c r="AA20" s="19"/>
    </row>
    <row r="21" spans="1:27" ht="15" customHeight="1" thickBot="1" x14ac:dyDescent="0.3">
      <c r="A21" s="143"/>
      <c r="B21" s="149"/>
      <c r="C21" s="137"/>
      <c r="D21" s="101">
        <f>SQRT(POWER($F$30-($F$31+SIN(RADIANS(E20+$E$30-$B20))*D20),2)+POWER($G$30-($G$31+COS(RADIANS(E20+$E$30-$B20))*D20),2))</f>
        <v>0.88046010226521154</v>
      </c>
      <c r="E21" s="102">
        <f>MOD(DEGREES(ATAN2($G$30-($G$31+COS(RADIANS(E20+$E$30-$B20))*D20),$F$30-($F$31+SIN(RADIANS(E20+$E$30-$B20))*D20))),360)</f>
        <v>296.58251737047425</v>
      </c>
      <c r="F21" s="22">
        <f>SQRT(POWER($F$30-($F$31+SIN(RADIANS(G20+$E$30-$B20))*F20),2)+POWER($G$30-($G$31+COS(RADIANS(G20+$E$30-$B20))*F20),2))</f>
        <v>0.8873912741167489</v>
      </c>
      <c r="G21" s="21">
        <f>MOD(DEGREES(ATAN2($G$30-($G$31+COS(RADIANS(G20+$E$30-$B20))*F20),$F$30-($F$31+SIN(RADIANS(G20+$E$30-$B20))*F20))),360)</f>
        <v>297.0591357462061</v>
      </c>
      <c r="H21" s="101">
        <f>SQRT(POWER($F$30-($F$31+SIN(RADIANS(I20+$E$30-$B20))*H20),2)+POWER($G$30-($G$31+COS(RADIANS(I20+$E$30-$B20))*H20),2))</f>
        <v>0.89456794175672449</v>
      </c>
      <c r="I21" s="102">
        <f>MOD(DEGREES(ATAN2($G$30-($G$31+COS(RADIANS(I20+$E$30-$B20))*H20),$F$30-($F$31+SIN(RADIANS(I20+$E$30-$B20))*H20))),360)</f>
        <v>297.53685041224907</v>
      </c>
      <c r="J21" s="22">
        <f>SQRT(POWER($F$30-($F$31+SIN(RADIANS(K20+$E$30-$B20))*J20),2)+POWER($G$30-($G$31+COS(RADIANS(K20+$E$30-$B20))*J20),2))</f>
        <v>0.90199900751686179</v>
      </c>
      <c r="K21" s="21">
        <f>MOD(DEGREES(ATAN2($G$30-($G$31+COS(RADIANS(K20+$E$30-$B20))*J20),$F$30-($F$31+SIN(RADIANS(K20+$E$30-$B20))*J20))),360)</f>
        <v>298.01562975323998</v>
      </c>
      <c r="L21" s="101">
        <f>SQRT(POWER($F$30-($F$31+SIN(RADIANS(M20+$E$30-$B20))*L20),2)+POWER($G$30-($G$31+COS(RADIANS(M20+$E$30-$B20))*L20),2))</f>
        <v>0.90969387008174796</v>
      </c>
      <c r="M21" s="102">
        <f>MOD(DEGREES(ATAN2($G$30-($G$31+COS(RADIANS(M20+$E$30-$B20))*L20),$F$30-($F$31+SIN(RADIANS(M20+$E$30-$B20))*L20))),360)</f>
        <v>298.49544406273884</v>
      </c>
      <c r="N21" s="22">
        <f>SQRT(POWER($F$30-($F$31+SIN(RADIANS(O20+$E$30-$B20))*N20),2)+POWER($G$30-($G$31+COS(RADIANS(O20+$E$30-$B20))*N20),2))</f>
        <v>0.91766246100310522</v>
      </c>
      <c r="O21" s="21">
        <f>MOD(DEGREES(ATAN2($G$30-($G$31+COS(RADIANS(O20+$E$30-$B20))*N20),$F$30-($F$31+SIN(RADIANS(O20+$E$30-$B20))*N20))),360)</f>
        <v>298.97626562925302</v>
      </c>
      <c r="P21" s="101">
        <f>SQRT(POWER($F$30-($F$31+SIN(RADIANS(Q20+$E$30-$B20))*P20),2)+POWER($G$30-($G$31+COS(RADIANS(Q20+$E$30-$B20))*P20),2))</f>
        <v>0.92591528440195348</v>
      </c>
      <c r="Q21" s="102">
        <f>MOD(DEGREES(ATAN2($G$30-($G$31+COS(RADIANS(Q20+$E$30-$B20))*P20),$F$30-($F$31+SIN(RADIANS(Q20+$E$30-$B20))*P20))),360)</f>
        <v>299.45806882098702</v>
      </c>
      <c r="R21" s="22">
        <f>SQRT(POWER($F$30-($F$31+SIN(RADIANS(S20+$E$30-$B20))*R20),2)+POWER($G$30-($G$31+COS(RADIANS(S20+$E$30-$B20))*R20),2))</f>
        <v>0.93446346018573534</v>
      </c>
      <c r="S21" s="21">
        <f>MOD(DEGREES(ATAN2($G$30-($G$31+COS(RADIANS(S20+$E$30-$B20))*R20),$F$30-($F$31+SIN(RADIANS(S20+$E$30-$B20))*R20))),360)</f>
        <v>299.94083016924299</v>
      </c>
      <c r="T21" s="101">
        <f>SQRT(POWER($F$30-($F$31+SIN(RADIANS(U20+$E$30-$B20))*T20),2)+POWER($G$30-($G$31+COS(RADIANS(U20+$E$30-$B20))*T20),2))</f>
        <v>0.94331877114644469</v>
      </c>
      <c r="U21" s="102">
        <f>MOD(DEGREES(ATAN2($G$30-($G$31+COS(RADIANS(U20+$E$30-$B20))*T20),$F$30-($F$31+SIN(RADIANS(U20+$E$30-$B20))*T20))),360)</f>
        <v>300.42452845040538</v>
      </c>
      <c r="V21" s="22">
        <f>SQRT(POWER($F$30-($F$31+SIN(RADIANS(W20+$E$30-$B20))*V20),2)+POWER($G$30-($G$31+COS(RADIANS(W20+$E$30-$B20))*V20),2))</f>
        <v>0.95249371435033026</v>
      </c>
      <c r="W21" s="21">
        <f>MOD(DEGREES(ATAN2($G$30-($G$31+COS(RADIANS(W20+$E$30-$B20))*V20),$F$30-($F$31+SIN(RADIANS(W20+$E$30-$B20))*V20))),360)</f>
        <v>300.90914476645122</v>
      </c>
      <c r="X21" s="101">
        <f>SQRT(POWER($F$30-($F$31+SIN(RADIANS(Y20+$E$30-$B20))*X20),2)+POWER($G$30-($G$31+COS(RADIANS(Y20+$E$30-$B20))*X20),2))</f>
        <v>0.96200155728017023</v>
      </c>
      <c r="Y21" s="102">
        <f>MOD(DEGREES(ATAN2($G$30-($G$31+COS(RADIANS(Y20+$E$30-$B20))*X20),$F$30-($F$31+SIN(RADIANS(Y20+$E$30-$B20))*X20))),360)</f>
        <v>301.39466262393819</v>
      </c>
      <c r="AA21" s="19"/>
    </row>
    <row r="22" spans="1:27" ht="15" customHeight="1" thickTop="1" x14ac:dyDescent="0.25">
      <c r="A22" s="143"/>
      <c r="B22" s="148">
        <f>B20-1</f>
        <v>-3</v>
      </c>
      <c r="C22" s="136">
        <f>MOD('New RPD &amp; RPB'!E$6-B22,360)</f>
        <v>291</v>
      </c>
      <c r="D22" s="23">
        <f>$D$31*$D$30/($D$30-D$4+$B22)</f>
        <v>0.58157894736842108</v>
      </c>
      <c r="E22" s="24">
        <f>IF('New RPD &amp; RPB'!$H$8&gt;0,90,270)+(D$4+$B22)/2*$W$31</f>
        <v>271.20124541540639</v>
      </c>
      <c r="F22" s="103">
        <f>$D$31*$D$30/($D$30-F$4+$B22)</f>
        <v>0.58933333333333338</v>
      </c>
      <c r="G22" s="106">
        <f>IF('New RPD &amp; RPB'!$H$8&gt;0,90,270)+(F$4+$B22)/2*$W$31</f>
        <v>270.60062270770317</v>
      </c>
      <c r="H22" s="23">
        <f>$D$31*$D$30/($D$30-H$4+$B22)</f>
        <v>0.5972972972972973</v>
      </c>
      <c r="I22" s="24">
        <f>IF('New RPD &amp; RPB'!$H$8&gt;0,90,270)+(H$4+$B22)/2*$W$31</f>
        <v>270</v>
      </c>
      <c r="J22" s="103">
        <f>$D$31*$D$30/($D$30-J$4+$B22)</f>
        <v>0.60547945205479459</v>
      </c>
      <c r="K22" s="106">
        <f>IF('New RPD &amp; RPB'!$H$8&gt;0,90,270)+(J$4+$B22)/2*$W$31</f>
        <v>269.39937729229683</v>
      </c>
      <c r="L22" s="23">
        <f>$D$31*$D$30/($D$30-L$4+$B22)</f>
        <v>0.61388888888888893</v>
      </c>
      <c r="M22" s="24">
        <f>IF('New RPD &amp; RPB'!$H$8&gt;0,90,270)+(L$4+$B22)/2*$W$31</f>
        <v>268.79875458459361</v>
      </c>
      <c r="N22" s="103">
        <f>$D$31*$D$30/($D$30-N$4+$B22)</f>
        <v>0.62253521126760569</v>
      </c>
      <c r="O22" s="106">
        <f>IF('New RPD &amp; RPB'!$H$8&gt;0,90,270)+(N$4+$B22)/2*$W$31</f>
        <v>268.19813187689044</v>
      </c>
      <c r="P22" s="23">
        <f>$D$31*$D$30/($D$30-P$4+$B22)</f>
        <v>0.63142857142857145</v>
      </c>
      <c r="Q22" s="24">
        <f>IF('New RPD &amp; RPB'!$H$8&gt;0,90,270)+(P$4+$B22)/2*$W$31</f>
        <v>267.59750916918722</v>
      </c>
      <c r="R22" s="103">
        <f>$D$31*$D$30/($D$30-R$4+$B22)</f>
        <v>0.64057971014492754</v>
      </c>
      <c r="S22" s="106">
        <f>IF('New RPD &amp; RPB'!$H$8&gt;0,90,270)+(R$4+$B22)/2*$W$31</f>
        <v>266.99688646148405</v>
      </c>
      <c r="T22" s="23">
        <f>$D$31*$D$30/($D$30-T$4+$B22)</f>
        <v>0.65</v>
      </c>
      <c r="U22" s="24">
        <f>IF('New RPD &amp; RPB'!$H$8&gt;0,90,270)+(T$4+$B22)/2*$W$31</f>
        <v>266.39626375378089</v>
      </c>
      <c r="V22" s="103">
        <f>$D$31*$D$30/($D$30-V$4+$B22)</f>
        <v>0.65970149253731347</v>
      </c>
      <c r="W22" s="106">
        <f>IF('New RPD &amp; RPB'!$H$8&gt;0,90,270)+(V$4+$B22)/2*$W$31</f>
        <v>265.79564104607766</v>
      </c>
      <c r="X22" s="23">
        <f>$D$31*$D$30/($D$30-X$4+$B22)</f>
        <v>0.66969696969696979</v>
      </c>
      <c r="Y22" s="24">
        <f>IF('New RPD &amp; RPB'!$H$8&gt;0,90,270)+(X$4+$B22)/2*$W$31</f>
        <v>265.1950183383745</v>
      </c>
      <c r="AA22" s="19"/>
    </row>
    <row r="23" spans="1:27" ht="15" customHeight="1" thickBot="1" x14ac:dyDescent="0.3">
      <c r="A23" s="143"/>
      <c r="B23" s="149"/>
      <c r="C23" s="137"/>
      <c r="D23" s="25">
        <f>SQRT(POWER($F$30-($F$31+SIN(RADIANS(E22+$E$30-$B22))*D22),2)+POWER($G$30-($G$31+COS(RADIANS(E22+$E$30-$B22))*D22),2))</f>
        <v>0.87580422787568557</v>
      </c>
      <c r="E23" s="26">
        <f>MOD(DEGREES(ATAN2($G$30-($G$31+COS(RADIANS(E22+$E$30-$B22))*D22),$F$30-($F$31+SIN(RADIANS(E22+$E$30-$B22))*D22))),360)</f>
        <v>296.09816005257562</v>
      </c>
      <c r="F23" s="107">
        <f>SQRT(POWER($F$30-($F$31+SIN(RADIANS(G22+$E$30-$B22))*F22),2)+POWER($G$30-($G$31+COS(RADIANS(G22+$E$30-$B22))*F22),2))</f>
        <v>0.88252258284661245</v>
      </c>
      <c r="G23" s="108">
        <f>MOD(DEGREES(ATAN2($G$30-($G$31+COS(RADIANS(G22+$E$30-$B22))*F22),$F$30-($F$31+SIN(RADIANS(G22+$E$30-$B22))*F22))),360)</f>
        <v>296.57108211576377</v>
      </c>
      <c r="H23" s="25">
        <f>SQRT(POWER($F$30-($F$31+SIN(RADIANS(I22+$E$30-$B22))*H22),2)+POWER($G$30-($G$31+COS(RADIANS(I22+$E$30-$B22))*H22),2))</f>
        <v>0.88947790929171078</v>
      </c>
      <c r="I23" s="26">
        <f>MOD(DEGREES(ATAN2($G$30-($G$31+COS(RADIANS(I22+$E$30-$B22))*H22),$F$30-($F$31+SIN(RADIANS(I22+$E$30-$B22))*H22))),360)</f>
        <v>297.04510717904219</v>
      </c>
      <c r="J23" s="107">
        <f>SQRT(POWER($F$30-($F$31+SIN(RADIANS(K22+$E$30-$B22))*J22),2)+POWER($G$30-($G$31+COS(RADIANS(K22+$E$30-$B22))*J22),2))</f>
        <v>0.89667864248181095</v>
      </c>
      <c r="K23" s="108">
        <f>MOD(DEGREES(ATAN2($G$30-($G$31+COS(RADIANS(K22+$E$30-$B22))*J22),$F$30-($F$31+SIN(RADIANS(K22+$E$30-$B22))*J22))),360)</f>
        <v>297.52020280982299</v>
      </c>
      <c r="L23" s="25">
        <f>SQRT(POWER($F$30-($F$31+SIN(RADIANS(M22+$E$30-$B22))*L22),2)+POWER($G$30-($G$31+COS(RADIANS(M22+$E$30-$B22))*L22),2))</f>
        <v>0.90413368053806697</v>
      </c>
      <c r="M23" s="26">
        <f>MOD(DEGREES(ATAN2($G$30-($G$31+COS(RADIANS(M22+$E$30-$B22))*L22),$F$30-($F$31+SIN(RADIANS(M22+$E$30-$B22))*L22))),360)</f>
        <v>297.99633841278029</v>
      </c>
      <c r="N23" s="107">
        <f>SQRT(POWER($F$30-($F$31+SIN(RADIANS(O22+$E$30-$B22))*N22),2)+POWER($G$30-($G$31+COS(RADIANS(O22+$E$30-$B22))*N22),2))</f>
        <v>0.91185241805392736</v>
      </c>
      <c r="O23" s="108">
        <f>MOD(DEGREES(ATAN2($G$30-($G$31+COS(RADIANS(O22+$E$30-$B22))*N22),$F$30-($F$31+SIN(RADIANS(O22+$E$30-$B22))*N22))),360)</f>
        <v>298.47348531568974</v>
      </c>
      <c r="P23" s="25">
        <f>SQRT(POWER($F$30-($F$31+SIN(RADIANS(Q22+$E$30-$B22))*P22),2)+POWER($G$30-($G$31+COS(RADIANS(Q22+$E$30-$B22))*P22),2))</f>
        <v>0.91984478261208746</v>
      </c>
      <c r="Q23" s="26">
        <f>MOD(DEGREES(ATAN2($G$30-($G$31+COS(RADIANS(Q22+$E$30-$B22))*P22),$F$30-($F$31+SIN(RADIANS(Q22+$E$30-$B22))*P22))),360)</f>
        <v>298.95161685409124</v>
      </c>
      <c r="R23" s="107">
        <f>SQRT(POWER($F$30-($F$31+SIN(RADIANS(S22+$E$30-$B22))*R22),2)+POWER($G$30-($G$31+COS(RADIANS(S22+$E$30-$B22))*R22),2))</f>
        <v>0.9281212744890136</v>
      </c>
      <c r="S23" s="108">
        <f>MOD(DEGREES(ATAN2($G$30-($G$31+COS(RADIANS(S22+$E$30-$B22))*R22),$F$30-($F$31+SIN(RADIANS(S22+$E$30-$B22))*R22))),360)</f>
        <v>299.43070845469765</v>
      </c>
      <c r="T23" s="25">
        <f>SQRT(POWER($F$30-($F$31+SIN(RADIANS(U22+$E$30-$B22))*T22),2)+POWER($G$30-($G$31+COS(RADIANS(U22+$E$30-$B22))*T22),2))</f>
        <v>0.93669300987404802</v>
      </c>
      <c r="U23" s="26">
        <f>MOD(DEGREES(ATAN2($G$30-($G$31+COS(RADIANS(U22+$E$30-$B22))*T22),$F$30-($F$31+SIN(RADIANS(U22+$E$30-$B22))*T22))),360)</f>
        <v>299.91073771747915</v>
      </c>
      <c r="V23" s="107">
        <f>SQRT(POWER($F$30-($F$31+SIN(RADIANS(W22+$E$30-$B22))*V22),2)+POWER($G$30-($G$31+COS(RADIANS(W22+$E$30-$B22))*V22),2))</f>
        <v>0.94557176796919107</v>
      </c>
      <c r="W23" s="108">
        <f>MOD(DEGREES(ATAN2($G$30-($G$31+COS(RADIANS(W22+$E$30-$B22))*V22),$F$30-($F$31+SIN(RADIANS(W22+$E$30-$B22))*V22))),360)</f>
        <v>300.39168449636355</v>
      </c>
      <c r="X23" s="25">
        <f>SQRT(POWER($F$30-($F$31+SIN(RADIANS(Y22+$E$30-$B22))*X22),2)+POWER($G$30-($G$31+COS(RADIANS(Y22+$E$30-$B22))*X22),2))</f>
        <v>0.9547700423800517</v>
      </c>
      <c r="Y23" s="26">
        <f>MOD(DEGREES(ATAN2($G$30-($G$31+COS(RADIANS(Y22+$E$30-$B22))*X22),$F$30-($F$31+SIN(RADIANS(Y22+$E$30-$B22))*X22))),360)</f>
        <v>300.87353097849945</v>
      </c>
      <c r="AA23" s="19"/>
    </row>
    <row r="24" spans="1:27" ht="15" customHeight="1" thickTop="1" x14ac:dyDescent="0.25">
      <c r="A24" s="143"/>
      <c r="B24" s="148">
        <f>B22-1</f>
        <v>-4</v>
      </c>
      <c r="C24" s="136">
        <f>MOD('New RPD &amp; RPB'!E$6-B24,360)</f>
        <v>292</v>
      </c>
      <c r="D24" s="104">
        <f>$D$31*$D$30/($D$30-D$4+$B24)</f>
        <v>0.57402597402597411</v>
      </c>
      <c r="E24" s="105">
        <f>IF('New RPD &amp; RPB'!$H$8&gt;0,90,270)+(D$4+$B24)/2*$W$31</f>
        <v>270.60062270770317</v>
      </c>
      <c r="F24" s="27">
        <f>$D$31*$D$30/($D$30-F$4+$B24)</f>
        <v>0.58157894736842108</v>
      </c>
      <c r="G24" s="28">
        <f>IF('New RPD &amp; RPB'!$H$8&gt;0,90,270)+(F$4+$B24)/2*$W$31</f>
        <v>270</v>
      </c>
      <c r="H24" s="104">
        <f>$D$31*$D$30/($D$30-H$4+$B24)</f>
        <v>0.58933333333333338</v>
      </c>
      <c r="I24" s="105">
        <f>IF('New RPD &amp; RPB'!$H$8&gt;0,90,270)+(H$4+$B24)/2*$W$31</f>
        <v>269.39937729229683</v>
      </c>
      <c r="J24" s="27">
        <f>$D$31*$D$30/($D$30-J$4+$B24)</f>
        <v>0.5972972972972973</v>
      </c>
      <c r="K24" s="28">
        <f>IF('New RPD &amp; RPB'!$H$8&gt;0,90,270)+(J$4+$B24)/2*$W$31</f>
        <v>268.79875458459361</v>
      </c>
      <c r="L24" s="104">
        <f>$D$31*$D$30/($D$30-L$4+$B24)</f>
        <v>0.60547945205479459</v>
      </c>
      <c r="M24" s="105">
        <f>IF('New RPD &amp; RPB'!$H$8&gt;0,90,270)+(L$4+$B24)/2*$W$31</f>
        <v>268.19813187689044</v>
      </c>
      <c r="N24" s="27">
        <f>$D$31*$D$30/($D$30-N$4+$B24)</f>
        <v>0.61388888888888893</v>
      </c>
      <c r="O24" s="28">
        <f>IF('New RPD &amp; RPB'!$H$8&gt;0,90,270)+(N$4+$B24)/2*$W$31</f>
        <v>267.59750916918722</v>
      </c>
      <c r="P24" s="104">
        <f>$D$31*$D$30/($D$30-P$4+$B24)</f>
        <v>0.62253521126760569</v>
      </c>
      <c r="Q24" s="105">
        <f>IF('New RPD &amp; RPB'!$H$8&gt;0,90,270)+(P$4+$B24)/2*$W$31</f>
        <v>266.99688646148405</v>
      </c>
      <c r="R24" s="27">
        <f>$D$31*$D$30/($D$30-R$4+$B24)</f>
        <v>0.63142857142857145</v>
      </c>
      <c r="S24" s="28">
        <f>IF('New RPD &amp; RPB'!$H$8&gt;0,90,270)+(R$4+$B24)/2*$W$31</f>
        <v>266.39626375378089</v>
      </c>
      <c r="T24" s="104">
        <f>$D$31*$D$30/($D$30-T$4+$B24)</f>
        <v>0.64057971014492754</v>
      </c>
      <c r="U24" s="105">
        <f>IF('New RPD &amp; RPB'!$H$8&gt;0,90,270)+(T$4+$B24)/2*$W$31</f>
        <v>265.79564104607766</v>
      </c>
      <c r="V24" s="27">
        <f>$D$31*$D$30/($D$30-V$4+$B24)</f>
        <v>0.65</v>
      </c>
      <c r="W24" s="28">
        <f>IF('New RPD &amp; RPB'!$H$8&gt;0,90,270)+(V$4+$B24)/2*$W$31</f>
        <v>265.1950183383745</v>
      </c>
      <c r="X24" s="104">
        <f>$D$31*$D$30/($D$30-X$4+$B24)</f>
        <v>0.65970149253731347</v>
      </c>
      <c r="Y24" s="105">
        <f>IF('New RPD &amp; RPB'!$H$8&gt;0,90,270)+(X$4+$B24)/2*$W$31</f>
        <v>264.59439563067127</v>
      </c>
      <c r="AA24" s="19"/>
    </row>
    <row r="25" spans="1:27" ht="15" customHeight="1" thickBot="1" x14ac:dyDescent="0.3">
      <c r="A25" s="143"/>
      <c r="B25" s="149"/>
      <c r="C25" s="137"/>
      <c r="D25" s="101">
        <f>SQRT(POWER($F$30-($F$31+SIN(RADIANS(E24+$E$30-$B24))*D24),2)+POWER($G$30-($G$31+COS(RADIANS(E24+$E$30-$B24))*D24),2))</f>
        <v>0.87132842505644459</v>
      </c>
      <c r="E25" s="102">
        <f>MOD(DEGREES(ATAN2($G$30-($G$31+COS(RADIANS(E24+$E$30-$B24))*D24),$F$30-($F$31+SIN(RADIANS(E24+$E$30-$B24))*D24))),360)</f>
        <v>295.61960952651185</v>
      </c>
      <c r="F25" s="22">
        <f>SQRT(POWER($F$30-($F$31+SIN(RADIANS(G24+$E$30-$B24))*F24),2)+POWER($G$30-($G$31+COS(RADIANS(G24+$E$30-$B24))*F24),2))</f>
        <v>0.8778420035487785</v>
      </c>
      <c r="G25" s="21">
        <f>MOD(DEGREES(ATAN2($G$30-($G$31+COS(RADIANS(G24+$E$30-$B24))*F24),$F$30-($F$31+SIN(RADIANS(G24+$E$30-$B24))*F24))),360)</f>
        <v>296.08886534812245</v>
      </c>
      <c r="H25" s="101">
        <f>SQRT(POWER($F$30-($F$31+SIN(RADIANS(I24+$E$30-$B24))*H24),2)+POWER($G$30-($G$31+COS(RADIANS(I24+$E$30-$B24))*H24),2))</f>
        <v>0.88458446995059137</v>
      </c>
      <c r="I25" s="102">
        <f>MOD(DEGREES(ATAN2($G$30-($G$31+COS(RADIANS(I24+$E$30-$B24))*H24),$F$30-($F$31+SIN(RADIANS(I24+$E$30-$B24))*H24))),360)</f>
        <v>296.55923102496678</v>
      </c>
      <c r="J25" s="22">
        <f>SQRT(POWER($F$30-($F$31+SIN(RADIANS(K24+$E$30-$B24))*J24),2)+POWER($G$30-($G$31+COS(RADIANS(K24+$E$30-$B24))*J24),2))</f>
        <v>0.89156382333757977</v>
      </c>
      <c r="K25" s="21">
        <f>MOD(DEGREES(ATAN2($G$30-($G$31+COS(RADIANS(K24+$E$30-$B24))*J24),$F$30-($F$31+SIN(RADIANS(K24+$E$30-$B24))*J24))),360)</f>
        <v>297.03067334802915</v>
      </c>
      <c r="L25" s="101">
        <f>SQRT(POWER($F$30-($F$31+SIN(RADIANS(M24+$E$30-$B24))*L24),2)+POWER($G$30-($G$31+COS(RADIANS(M24+$E$30-$B24))*L24),2))</f>
        <v>0.89878849475980582</v>
      </c>
      <c r="M25" s="102">
        <f>MOD(DEGREES(ATAN2($G$30-($G$31+COS(RADIANS(M24+$E$30-$B24))*L24),$F$30-($F$31+SIN(RADIANS(M24+$E$30-$B24))*L24))),360)</f>
        <v>297.50316087476261</v>
      </c>
      <c r="N25" s="22">
        <f>SQRT(POWER($F$30-($F$31+SIN(RADIANS(O24+$E$30-$B24))*N24),2)+POWER($G$30-($G$31+COS(RADIANS(O24+$E$30-$B24))*N24),2))</f>
        <v>0.90626737823406789</v>
      </c>
      <c r="O25" s="21">
        <f>MOD(DEGREES(ATAN2($G$30-($G$31+COS(RADIANS(O24+$E$30-$B24))*N24),$F$30-($F$31+SIN(RADIANS(O24+$E$30-$B24))*N24))),360)</f>
        <v>297.97666401466432</v>
      </c>
      <c r="P25" s="101">
        <f>SQRT(POWER($F$30-($F$31+SIN(RADIANS(Q24+$E$30-$B24))*P24),2)+POWER($G$30-($G$31+COS(RADIANS(Q24+$E$30-$B24))*P24),2))</f>
        <v>0.91400986436874554</v>
      </c>
      <c r="Q25" s="102">
        <f>MOD(DEGREES(ATAN2($G$30-($G$31+COS(RADIANS(Q24+$E$30-$B24))*P24),$F$30-($F$31+SIN(RADIANS(Q24+$E$30-$B24))*P24))),360)</f>
        <v>298.45115511376929</v>
      </c>
      <c r="R25" s="22">
        <f>SQRT(POWER($F$30-($F$31+SIN(RADIANS(S24+$E$30-$B24))*R24),2)+POWER($G$30-($G$31+COS(RADIANS(S24+$E$30-$B24))*R24),2))</f>
        <v>0.92202587688333648</v>
      </c>
      <c r="S25" s="21">
        <f>MOD(DEGREES(ATAN2($G$30-($G$31+COS(RADIANS(S24+$E$30-$B24))*R24),$F$30-($F$31+SIN(RADIANS(S24+$E$30-$B24))*R24))),360)</f>
        <v>298.92660853798282</v>
      </c>
      <c r="T25" s="101">
        <f>SQRT(POWER($F$30-($F$31+SIN(RADIANS(U24+$E$30-$B24))*T24),2)+POWER($G$30-($G$31+COS(RADIANS(U24+$E$30-$B24))*T24),2))</f>
        <v>0.93032591231518236</v>
      </c>
      <c r="U25" s="102">
        <f>MOD(DEGREES(ATAN2($G$30-($G$31+COS(RADIANS(U24+$E$30-$B24))*T24),$F$30-($F$31+SIN(RADIANS(U24+$E$30-$B24))*T24))),360)</f>
        <v>299.40300075517956</v>
      </c>
      <c r="V25" s="22">
        <f>SQRT(POWER($F$30-($F$31+SIN(RADIANS(W24+$E$30-$B24))*V24),2)+POWER($G$30-($G$31+COS(RADIANS(W24+$E$30-$B24))*V24),2))</f>
        <v>0.9389210832404612</v>
      </c>
      <c r="W25" s="21">
        <f>MOD(DEGREES(ATAN2($G$30-($G$31+COS(RADIANS(W24+$E$30-$B24))*V24),$F$30-($F$31+SIN(RADIANS(W24+$E$30-$B24))*V24))),360)</f>
        <v>299.88031041600516</v>
      </c>
      <c r="X25" s="101">
        <f>SQRT(POWER($F$30-($F$31+SIN(RADIANS(Y24+$E$30-$B24))*X24),2)+POWER($G$30-($G$31+COS(RADIANS(Y24+$E$30-$B24))*X24),2))</f>
        <v>0.94782316537547806</v>
      </c>
      <c r="Y25" s="102">
        <f>MOD(DEGREES(ATAN2($G$30-($G$31+COS(RADIANS(Y24+$E$30-$B24))*X24),$F$30-($F$31+SIN(RADIANS(Y24+$E$30-$B24))*X24))),360)</f>
        <v>300.35851843332568</v>
      </c>
      <c r="AA25" s="19"/>
    </row>
    <row r="26" spans="1:27" ht="15" customHeight="1" thickTop="1" x14ac:dyDescent="0.25">
      <c r="A26" s="143"/>
      <c r="B26" s="150">
        <f>B24-1</f>
        <v>-5</v>
      </c>
      <c r="C26" s="136">
        <f>MOD('New RPD &amp; RPB'!E$6-B26,360)</f>
        <v>293</v>
      </c>
      <c r="D26" s="23">
        <f>$D$31*$D$30/($D$30-D$4+$B26)</f>
        <v>0.56666666666666665</v>
      </c>
      <c r="E26" s="24">
        <f>IF('New RPD &amp; RPB'!$H$8&gt;0,90,270)+(D$4+$B26)/2*$W$31</f>
        <v>270</v>
      </c>
      <c r="F26" s="103">
        <f>$D$31*$D$30/($D$30-F$4+$B26)</f>
        <v>0.57402597402597411</v>
      </c>
      <c r="G26" s="106">
        <f>IF('New RPD &amp; RPB'!$H$8&gt;0,90,270)+(F$4+$B26)/2*$W$31</f>
        <v>269.39937729229683</v>
      </c>
      <c r="H26" s="23">
        <f>$D$31*$D$30/($D$30-H$4+$B26)</f>
        <v>0.58157894736842108</v>
      </c>
      <c r="I26" s="24">
        <f>IF('New RPD &amp; RPB'!$H$8&gt;0,90,270)+(H$4+$B26)/2*$W$31</f>
        <v>268.79875458459361</v>
      </c>
      <c r="J26" s="103">
        <f>$D$31*$D$30/($D$30-J$4+$B26)</f>
        <v>0.58933333333333338</v>
      </c>
      <c r="K26" s="106">
        <f>IF('New RPD &amp; RPB'!$H$8&gt;0,90,270)+(J$4+$B26)/2*$W$31</f>
        <v>268.19813187689044</v>
      </c>
      <c r="L26" s="23">
        <f>$D$31*$D$30/($D$30-L$4+$B26)</f>
        <v>0.5972972972972973</v>
      </c>
      <c r="M26" s="24">
        <f>IF('New RPD &amp; RPB'!$H$8&gt;0,90,270)+(L$4+$B26)/2*$W$31</f>
        <v>267.59750916918722</v>
      </c>
      <c r="N26" s="103">
        <f>$D$31*$D$30/($D$30-N$4+$B26)</f>
        <v>0.60547945205479459</v>
      </c>
      <c r="O26" s="106">
        <f>IF('New RPD &amp; RPB'!$H$8&gt;0,90,270)+(N$4+$B26)/2*$W$31</f>
        <v>266.99688646148405</v>
      </c>
      <c r="P26" s="23">
        <f>$D$31*$D$30/($D$30-P$4+$B26)</f>
        <v>0.61388888888888893</v>
      </c>
      <c r="Q26" s="24">
        <f>IF('New RPD &amp; RPB'!$H$8&gt;0,90,270)+(P$4+$B26)/2*$W$31</f>
        <v>266.39626375378089</v>
      </c>
      <c r="R26" s="103">
        <f>$D$31*$D$30/($D$30-R$4+$B26)</f>
        <v>0.62253521126760569</v>
      </c>
      <c r="S26" s="106">
        <f>IF('New RPD &amp; RPB'!$H$8&gt;0,90,270)+(R$4+$B26)/2*$W$31</f>
        <v>265.79564104607766</v>
      </c>
      <c r="T26" s="23">
        <f>$D$31*$D$30/($D$30-T$4+$B26)</f>
        <v>0.63142857142857145</v>
      </c>
      <c r="U26" s="24">
        <f>IF('New RPD &amp; RPB'!$H$8&gt;0,90,270)+(T$4+$B26)/2*$W$31</f>
        <v>265.1950183383745</v>
      </c>
      <c r="V26" s="103">
        <f>$D$31*$D$30/($D$30-V$4+$B26)</f>
        <v>0.64057971014492754</v>
      </c>
      <c r="W26" s="106">
        <f>IF('New RPD &amp; RPB'!$H$8&gt;0,90,270)+(V$4+$B26)/2*$W$31</f>
        <v>264.59439563067127</v>
      </c>
      <c r="X26" s="23">
        <f>$D$31*$D$30/($D$30-X$4+$B26)</f>
        <v>0.65</v>
      </c>
      <c r="Y26" s="24">
        <f>IF('New RPD &amp; RPB'!$H$8&gt;0,90,270)+(X$4+$B26)/2*$W$31</f>
        <v>263.99377292296811</v>
      </c>
      <c r="AA26" s="19"/>
    </row>
    <row r="27" spans="1:27" ht="15.75" customHeight="1" thickBot="1" x14ac:dyDescent="0.3">
      <c r="A27" s="143"/>
      <c r="B27" s="149"/>
      <c r="C27" s="137"/>
      <c r="D27" s="25">
        <f>SQRT(POWER($F$30-($F$31+SIN(RADIANS(E26+$E$30-$B26))*D26),2)+POWER($G$30-($G$31+COS(RADIANS(E26+$E$30-$B26))*D26),2))</f>
        <v>0.86702522297059692</v>
      </c>
      <c r="E27" s="26">
        <f>MOD(DEGREES(ATAN2($G$30-($G$31+COS(RADIANS(E26+$E$30-$B26))*D26),$F$30-($F$31+SIN(RADIANS(E26+$E$30-$B26))*D26))),360)</f>
        <v>295.14679143300009</v>
      </c>
      <c r="F27" s="107">
        <f>SQRT(POWER($F$30-($F$31+SIN(RADIANS(G26+$E$30-$B26))*F26),2)+POWER($G$30-($G$31+COS(RADIANS(G26+$E$30-$B26))*F26),2))</f>
        <v>0.87334164912553558</v>
      </c>
      <c r="G27" s="108">
        <f>MOD(DEGREES(ATAN2($G$30-($G$31+COS(RADIANS(G26+$E$30-$B26))*F26),$F$30-($F$31+SIN(RADIANS(G26+$E$30-$B26))*F26))),360)</f>
        <v>295.61241112361836</v>
      </c>
      <c r="H27" s="25">
        <f>SQRT(POWER($F$30-($F$31+SIN(RADIANS(I26+$E$30-$B26))*H26),2)+POWER($G$30-($G$31+COS(RADIANS(I26+$E$30-$B26))*H26),2))</f>
        <v>0.8798792918060091</v>
      </c>
      <c r="I27" s="26">
        <f>MOD(DEGREES(ATAN2($G$30-($G$31+COS(RADIANS(I26+$E$30-$B26))*H26),$F$30-($F$31+SIN(RADIANS(I26+$E$30-$B26))*H26))),360)</f>
        <v>296.0791476677357</v>
      </c>
      <c r="J27" s="107">
        <f>SQRT(POWER($F$30-($F$31+SIN(RADIANS(K26+$E$30-$B26))*J26),2)+POWER($G$30-($G$31+COS(RADIANS(K26+$E$30-$B26))*J26),2))</f>
        <v>0.88664574236892935</v>
      </c>
      <c r="K27" s="108">
        <f>MOD(DEGREES(ATAN2($G$30-($G$31+COS(RADIANS(K26+$E$30-$B26))*J26),$F$30-($F$31+SIN(RADIANS(K26+$E$30-$B26))*J26))),360)</f>
        <v>296.5469671201102</v>
      </c>
      <c r="L27" s="25">
        <f>SQRT(POWER($F$30-($F$31+SIN(RADIANS(M26+$E$30-$B26))*L26),2)+POWER($G$30-($G$31+COS(RADIANS(M26+$E$30-$B26))*L26),2))</f>
        <v>0.89364899566038225</v>
      </c>
      <c r="M27" s="26">
        <f>MOD(DEGREES(ATAN2($G$30-($G$31+COS(RADIANS(M26+$E$30-$B26))*L26),$F$30-($F$31+SIN(RADIANS(M26+$E$30-$B26))*L26))),360)</f>
        <v>297.01583723209251</v>
      </c>
      <c r="N27" s="107">
        <f>SQRT(POWER($F$30-($F$31+SIN(RADIANS(O26+$E$30-$B26))*N26),2)+POWER($G$30-($G$31+COS(RADIANS(O26+$E$30-$B26))*N26),2))</f>
        <v>0.90089747861412295</v>
      </c>
      <c r="O27" s="108">
        <f>MOD(DEGREES(ATAN2($G$30-($G$31+COS(RADIANS(O26+$E$30-$B26))*N26),$F$30-($F$31+SIN(RADIANS(O26+$E$30-$B26))*N26))),360)</f>
        <v>297.48572753686199</v>
      </c>
      <c r="P27" s="25">
        <f>SQRT(POWER($F$30-($F$31+SIN(RADIANS(Q26+$E$30-$B26))*P26),2)+POWER($G$30-($G$31+COS(RADIANS(Q26+$E$30-$B26))*P26),2))</f>
        <v>0.90840008124703386</v>
      </c>
      <c r="Q27" s="26">
        <f>MOD(DEGREES(ATAN2($G$30-($G$31+COS(RADIANS(Q26+$E$30-$B26))*P26),$F$30-($F$31+SIN(RADIANS(Q26+$E$30-$B26))*P26))),360)</f>
        <v>297.95660943367449</v>
      </c>
      <c r="R27" s="107">
        <f>SQRT(POWER($F$30-($F$31+SIN(RADIANS(S26+$E$30-$B26))*R26),2)+POWER($G$30-($G$31+COS(RADIANS(S26+$E$30-$B26))*R26),2))</f>
        <v>0.91616619028673418</v>
      </c>
      <c r="S27" s="108">
        <f>MOD(DEGREES(ATAN2($G$30-($G$31+COS(RADIANS(S26+$E$30-$B26))*R26),$F$30-($F$31+SIN(RADIANS(S26+$E$30-$B26))*R26))),360)</f>
        <v>298.42845627103907</v>
      </c>
      <c r="T27" s="25">
        <f>SQRT(POWER($F$30-($F$31+SIN(RADIANS(U26+$E$30-$B26))*T26),2)+POWER($G$30-($G$31+COS(RADIANS(U26+$E$30-$B26))*T26),2))</f>
        <v>0.9242057256935382</v>
      </c>
      <c r="U27" s="26">
        <f>MOD(DEGREES(ATAN2($G$30-($G$31+COS(RADIANS(U26+$E$30-$B26))*T26),$F$30-($F$31+SIN(RADIANS(U26+$E$30-$B26))*T26))),360)</f>
        <v>298.90124342875043</v>
      </c>
      <c r="V27" s="107">
        <f>SQRT(POWER($F$30-($F$31+SIN(RADIANS(W26+$E$30-$B26))*V26),2)+POWER($G$30-($G$31+COS(RADIANS(W26+$E$30-$B26))*V26),2))</f>
        <v>0.93252918036929977</v>
      </c>
      <c r="W27" s="108">
        <f>MOD(DEGREES(ATAN2($G$30-($G$31+COS(RADIANS(W26+$E$30-$B26))*V26),$F$30-($F$31+SIN(RADIANS(W26+$E$30-$B26))*V26))),360)</f>
        <v>299.37494839870874</v>
      </c>
      <c r="X27" s="25">
        <f>SQRT(POWER($F$30-($F$31+SIN(RADIANS(Y26+$E$30-$B26))*X26),2)+POWER($G$30-($G$31+COS(RADIANS(Y26+$E$30-$B26))*X26),2))</f>
        <v>0.94114766338013978</v>
      </c>
      <c r="Y27" s="26">
        <f>MOD(DEGREES(ATAN2($G$30-($G$31+COS(RADIANS(Y26+$E$30-$B26))*X26),$F$30-($F$31+SIN(RADIANS(Y26+$E$30-$B26))*X26))),360)</f>
        <v>299.84955086447093</v>
      </c>
      <c r="AA27" s="19"/>
    </row>
    <row r="28" spans="1:27" ht="15.75" thickTop="1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6"/>
      <c r="T28" s="36"/>
      <c r="U28" s="36"/>
      <c r="V28" s="36"/>
      <c r="W28" s="109" t="s">
        <v>23</v>
      </c>
      <c r="X28" s="36"/>
      <c r="Y28" s="36"/>
      <c r="Z28" s="19"/>
      <c r="AA28" s="19"/>
    </row>
    <row r="29" spans="1:27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19"/>
      <c r="AA29" s="19"/>
    </row>
    <row r="30" spans="1:27" x14ac:dyDescent="0.25">
      <c r="B30" s="36"/>
      <c r="C30" s="36"/>
      <c r="D30" s="36">
        <f>'New RPD &amp; RPB'!H8</f>
        <v>-68</v>
      </c>
      <c r="E30" s="36">
        <f>Init_Co</f>
        <v>288</v>
      </c>
      <c r="F30" s="38">
        <f>'New RPD &amp; RPB'!$L$6</f>
        <v>-0.80540362551952793</v>
      </c>
      <c r="G30" s="38">
        <f>'New RPD &amp; RPB'!$M$6</f>
        <v>0.46500000000000014</v>
      </c>
      <c r="H30" s="36"/>
      <c r="I30" s="36"/>
      <c r="J30" s="36"/>
      <c r="K30" s="36"/>
      <c r="L30" s="36"/>
      <c r="M30" s="36"/>
      <c r="N30" s="36"/>
      <c r="O30" s="36">
        <v>10</v>
      </c>
      <c r="P30" s="36">
        <v>1</v>
      </c>
      <c r="Q30" s="36"/>
      <c r="R30" s="36"/>
      <c r="S30" s="36"/>
      <c r="T30" s="36"/>
      <c r="U30" s="36"/>
      <c r="V30" s="36"/>
      <c r="W30" s="36"/>
      <c r="X30" s="36"/>
      <c r="Y30" s="36"/>
      <c r="Z30" s="19"/>
      <c r="AA30" s="19"/>
    </row>
    <row r="31" spans="1:27" x14ac:dyDescent="0.25">
      <c r="B31" s="36"/>
      <c r="C31" s="36"/>
      <c r="D31" s="36">
        <f>'New RPD &amp; RPB'!E8</f>
        <v>0.65</v>
      </c>
      <c r="E31" s="36"/>
      <c r="F31" s="38">
        <f>'New RPD &amp; RPB'!$L$7</f>
        <v>0.20086104634371568</v>
      </c>
      <c r="G31" s="38">
        <f>'New RPD &amp; RPB'!M7</f>
        <v>0.61818673559184989</v>
      </c>
      <c r="H31" s="36"/>
      <c r="I31" s="36"/>
      <c r="J31" s="36"/>
      <c r="K31" s="36"/>
      <c r="L31" s="36"/>
      <c r="M31" s="36"/>
      <c r="N31" s="39">
        <f>ABS('New RPD &amp; RPB'!H9)</f>
        <v>34</v>
      </c>
      <c r="O31" s="38">
        <f>O30+SIN(RADIANS(N31))*P30</f>
        <v>10.559192903470747</v>
      </c>
      <c r="P31" s="38">
        <f>COS(RADIANS(N31))*P30</f>
        <v>0.82903757255504162</v>
      </c>
      <c r="Q31" s="39">
        <f>DEGREES(ATAN2(O31,P31))</f>
        <v>4.4892740330926788</v>
      </c>
      <c r="R31" s="38">
        <f>O30-SIN(RADIANS(N31))*P30</f>
        <v>9.4408070965292534</v>
      </c>
      <c r="S31" s="38">
        <f>COS(RADIANS(N31))*P30</f>
        <v>0.82903757255504162</v>
      </c>
      <c r="T31" s="39">
        <f>DEGREES(ATAN2(R31,S31))</f>
        <v>5.0185135751001937</v>
      </c>
      <c r="U31" s="39">
        <f>(Q31+T31)/2</f>
        <v>4.7538938040964362</v>
      </c>
      <c r="V31" s="39">
        <f>DEGREES(ATAN2(O30,P30))</f>
        <v>5.710593137499643</v>
      </c>
      <c r="W31" s="40">
        <f>V31/U31</f>
        <v>1.2012454154063807</v>
      </c>
      <c r="X31" s="36"/>
      <c r="Y31" s="36"/>
      <c r="Z31" s="19"/>
      <c r="AA31" s="19"/>
    </row>
    <row r="32" spans="1:27" x14ac:dyDescent="0.2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19"/>
      <c r="AA32" s="19"/>
    </row>
    <row r="33" spans="2:27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19"/>
      <c r="AA33" s="19"/>
    </row>
    <row r="34" spans="2:27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19"/>
      <c r="AA34" s="19"/>
    </row>
    <row r="35" spans="2:27" x14ac:dyDescent="0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19"/>
      <c r="AA35" s="19"/>
    </row>
    <row r="36" spans="2:27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19"/>
      <c r="AA36" s="19"/>
    </row>
    <row r="37" spans="2:27" x14ac:dyDescent="0.2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19"/>
      <c r="AA37" s="19"/>
    </row>
    <row r="38" spans="2:27" x14ac:dyDescent="0.2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19"/>
      <c r="AA38" s="19"/>
    </row>
    <row r="39" spans="2:27" x14ac:dyDescent="0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19"/>
      <c r="AA39" s="19"/>
    </row>
    <row r="40" spans="2:27" x14ac:dyDescent="0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2:27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2:27" x14ac:dyDescent="0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2:27" x14ac:dyDescent="0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2:27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2:27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2:27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2:27" x14ac:dyDescent="0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</sheetData>
  <sheetProtection password="870B" sheet="1" objects="1" scenarios="1" selectLockedCells="1" selectUnlockedCells="1"/>
  <mergeCells count="49">
    <mergeCell ref="B6:B7"/>
    <mergeCell ref="C6:C7"/>
    <mergeCell ref="X5:Y5"/>
    <mergeCell ref="N5:O5"/>
    <mergeCell ref="P5:Q5"/>
    <mergeCell ref="R5:S5"/>
    <mergeCell ref="T5:U5"/>
    <mergeCell ref="V5:W5"/>
    <mergeCell ref="D5:E5"/>
    <mergeCell ref="F5:G5"/>
    <mergeCell ref="H5:I5"/>
    <mergeCell ref="J5:K5"/>
    <mergeCell ref="L5:M5"/>
    <mergeCell ref="B16:B17"/>
    <mergeCell ref="B18:B19"/>
    <mergeCell ref="B20:B21"/>
    <mergeCell ref="B22:B23"/>
    <mergeCell ref="B24:B25"/>
    <mergeCell ref="G1:N2"/>
    <mergeCell ref="A6:A27"/>
    <mergeCell ref="D3:Y3"/>
    <mergeCell ref="V4:W4"/>
    <mergeCell ref="X4:Y4"/>
    <mergeCell ref="O1:P2"/>
    <mergeCell ref="Q1:T2"/>
    <mergeCell ref="N4:O4"/>
    <mergeCell ref="P4:Q4"/>
    <mergeCell ref="R4:S4"/>
    <mergeCell ref="T4:U4"/>
    <mergeCell ref="B8:B9"/>
    <mergeCell ref="B10:B11"/>
    <mergeCell ref="B12:B13"/>
    <mergeCell ref="B14:B15"/>
    <mergeCell ref="B26:B27"/>
    <mergeCell ref="D4:E4"/>
    <mergeCell ref="F4:G4"/>
    <mergeCell ref="H4:I4"/>
    <mergeCell ref="J4:K4"/>
    <mergeCell ref="L4:M4"/>
    <mergeCell ref="C20:C21"/>
    <mergeCell ref="C22:C23"/>
    <mergeCell ref="C24:C25"/>
    <mergeCell ref="C26:C27"/>
    <mergeCell ref="C8:C9"/>
    <mergeCell ref="C10:C11"/>
    <mergeCell ref="C12:C13"/>
    <mergeCell ref="C14:C15"/>
    <mergeCell ref="C16:C17"/>
    <mergeCell ref="C18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showGridLines="0" zoomScaleNormal="100" workbookViewId="0"/>
  </sheetViews>
  <sheetFormatPr defaultRowHeight="15" x14ac:dyDescent="0.25"/>
  <cols>
    <col min="1" max="1" width="6.7109375" customWidth="1"/>
    <col min="4" max="32" width="6.7109375" customWidth="1"/>
    <col min="33" max="38" width="4.7109375" customWidth="1"/>
  </cols>
  <sheetData>
    <row r="1" spans="1:27" ht="15" customHeight="1" x14ac:dyDescent="0.25">
      <c r="B1" s="19"/>
      <c r="C1" s="19"/>
      <c r="D1" s="19"/>
      <c r="E1" s="117" t="s">
        <v>11</v>
      </c>
      <c r="F1" s="118" t="s">
        <v>29</v>
      </c>
      <c r="G1" s="140" t="str">
        <f>'New RPD &amp; RPB'!D11</f>
        <v>Sydney Heads In</v>
      </c>
      <c r="H1" s="141"/>
      <c r="I1" s="141"/>
      <c r="J1" s="141"/>
      <c r="K1" s="141"/>
      <c r="L1" s="141"/>
      <c r="M1" s="141"/>
      <c r="N1" s="141"/>
      <c r="O1" s="146">
        <f>ABS('New RPD &amp; RPB'!H8)</f>
        <v>68</v>
      </c>
      <c r="P1" s="146"/>
      <c r="Q1" s="147" t="str">
        <f>IF('New RPD &amp; RPB'!H8&gt;0, "to Starboard","to Port")</f>
        <v>to Port</v>
      </c>
      <c r="R1" s="147"/>
      <c r="S1" s="147"/>
      <c r="T1" s="147"/>
      <c r="U1" s="19"/>
      <c r="V1" s="19"/>
      <c r="W1" s="121" t="s">
        <v>11</v>
      </c>
      <c r="X1" s="122" t="s">
        <v>29</v>
      </c>
      <c r="Z1" s="19"/>
      <c r="AA1" s="19"/>
    </row>
    <row r="2" spans="1:27" ht="15" customHeight="1" x14ac:dyDescent="0.25">
      <c r="B2" s="19"/>
      <c r="C2" s="19"/>
      <c r="D2" s="19"/>
      <c r="E2" s="119" t="s">
        <v>13</v>
      </c>
      <c r="F2" s="120" t="s">
        <v>14</v>
      </c>
      <c r="G2" s="141"/>
      <c r="H2" s="141"/>
      <c r="I2" s="141"/>
      <c r="J2" s="141"/>
      <c r="K2" s="141"/>
      <c r="L2" s="141"/>
      <c r="M2" s="141"/>
      <c r="N2" s="141"/>
      <c r="O2" s="146"/>
      <c r="P2" s="146"/>
      <c r="Q2" s="147"/>
      <c r="R2" s="147"/>
      <c r="S2" s="147"/>
      <c r="T2" s="147"/>
      <c r="U2" s="19"/>
      <c r="V2" s="19"/>
      <c r="W2" s="123" t="s">
        <v>13</v>
      </c>
      <c r="X2" s="124" t="s">
        <v>14</v>
      </c>
      <c r="Z2" s="19"/>
      <c r="AA2" s="19"/>
    </row>
    <row r="3" spans="1:27" ht="28.5" x14ac:dyDescent="0.45">
      <c r="D3" s="144" t="s">
        <v>27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7" ht="21" x14ac:dyDescent="0.35">
      <c r="B4" s="9">
        <v>12</v>
      </c>
      <c r="C4" s="9"/>
      <c r="D4" s="154">
        <f>B4-2</f>
        <v>10</v>
      </c>
      <c r="E4" s="155"/>
      <c r="F4" s="154">
        <f>D4-2</f>
        <v>8</v>
      </c>
      <c r="G4" s="155"/>
      <c r="H4" s="154">
        <f>F4-2</f>
        <v>6</v>
      </c>
      <c r="I4" s="155"/>
      <c r="J4" s="154">
        <f>H4-2</f>
        <v>4</v>
      </c>
      <c r="K4" s="155"/>
      <c r="L4" s="154">
        <f>J4-2</f>
        <v>2</v>
      </c>
      <c r="M4" s="155"/>
      <c r="N4" s="154">
        <f>L4-2</f>
        <v>0</v>
      </c>
      <c r="O4" s="155"/>
      <c r="P4" s="154">
        <f>N4-2</f>
        <v>-2</v>
      </c>
      <c r="Q4" s="155"/>
      <c r="R4" s="154">
        <f>P4-2</f>
        <v>-4</v>
      </c>
      <c r="S4" s="155"/>
      <c r="T4" s="154">
        <f>R4-2</f>
        <v>-6</v>
      </c>
      <c r="U4" s="155"/>
      <c r="V4" s="154">
        <f>T4-2</f>
        <v>-8</v>
      </c>
      <c r="W4" s="155"/>
      <c r="X4" s="154">
        <f>V4-2</f>
        <v>-10</v>
      </c>
      <c r="Y4" s="155"/>
    </row>
    <row r="5" spans="1:27" ht="21.75" thickBot="1" x14ac:dyDescent="0.4">
      <c r="B5" s="9"/>
      <c r="C5" s="116" t="s">
        <v>26</v>
      </c>
      <c r="D5" s="151">
        <f>MOD('New RPD &amp; RPB'!$E7-D4,360)</f>
        <v>210</v>
      </c>
      <c r="E5" s="152"/>
      <c r="F5" s="151">
        <f>MOD('New RPD &amp; RPB'!$E7-F4,360)</f>
        <v>212</v>
      </c>
      <c r="G5" s="152"/>
      <c r="H5" s="151">
        <f>MOD('New RPD &amp; RPB'!$E7-H4,360)</f>
        <v>214</v>
      </c>
      <c r="I5" s="152"/>
      <c r="J5" s="151">
        <f>MOD('New RPD &amp; RPB'!$E7-J4,360)</f>
        <v>216</v>
      </c>
      <c r="K5" s="152"/>
      <c r="L5" s="151">
        <f>MOD('New RPD &amp; RPB'!$E7-L4,360)</f>
        <v>218</v>
      </c>
      <c r="M5" s="152"/>
      <c r="N5" s="151">
        <f>MOD('New RPD &amp; RPB'!$E7-N4,360)</f>
        <v>220</v>
      </c>
      <c r="O5" s="152"/>
      <c r="P5" s="151">
        <f>MOD('New RPD &amp; RPB'!$E7-P4,360)</f>
        <v>222</v>
      </c>
      <c r="Q5" s="152"/>
      <c r="R5" s="151">
        <f>MOD('New RPD &amp; RPB'!$E7-R4,360)</f>
        <v>224</v>
      </c>
      <c r="S5" s="152"/>
      <c r="T5" s="151">
        <f>MOD('New RPD &amp; RPB'!$E7-T4,360)</f>
        <v>226</v>
      </c>
      <c r="U5" s="152"/>
      <c r="V5" s="151">
        <f>MOD('New RPD &amp; RPB'!$E7-V4,360)</f>
        <v>228</v>
      </c>
      <c r="W5" s="152"/>
      <c r="X5" s="151">
        <f>MOD('New RPD &amp; RPB'!$E7-X4,360)</f>
        <v>230</v>
      </c>
      <c r="Y5" s="152"/>
    </row>
    <row r="6" spans="1:27" ht="15" customHeight="1" thickTop="1" x14ac:dyDescent="0.25">
      <c r="A6" s="142" t="s">
        <v>28</v>
      </c>
      <c r="B6" s="153">
        <f>B4-2</f>
        <v>10</v>
      </c>
      <c r="C6" s="136">
        <f>MOD('New RPD &amp; RPB'!E$6-B6,360)</f>
        <v>278</v>
      </c>
      <c r="D6" s="10">
        <f>$B$31*$B$30/($B$30-D$4+$B6)</f>
        <v>0.65</v>
      </c>
      <c r="E6" s="11">
        <f>IF('New RPD &amp; RPB'!$H$8&gt;0,90,270)+(D$4+$B6)/2*$V$31</f>
        <v>281.86985306296697</v>
      </c>
      <c r="F6" s="82">
        <f>$B$31*$B$30/($B$30-F$4+$B6)</f>
        <v>0.66969696969696979</v>
      </c>
      <c r="G6" s="92">
        <f>IF('New RPD &amp; RPB'!$H$8&gt;0,90,270)+(F$4+$B6)/2*$V$31</f>
        <v>280.68286775667025</v>
      </c>
      <c r="H6" s="10">
        <f>$B$31*$B$30/($B$30-H$4+$B6)</f>
        <v>0.69062500000000004</v>
      </c>
      <c r="I6" s="11">
        <f>IF('New RPD &amp; RPB'!$H$8&gt;0,90,270)+(H$4+$B6)/2*$V$31</f>
        <v>279.49588245037353</v>
      </c>
      <c r="J6" s="82">
        <f>$B$31*$B$30/($B$30-J$4+$B6)</f>
        <v>0.71290322580645171</v>
      </c>
      <c r="K6" s="92">
        <f>IF('New RPD &amp; RPB'!$H$8&gt;0,90,270)+(J$4+$B6)/2*$V$31</f>
        <v>278.30889714407687</v>
      </c>
      <c r="L6" s="10">
        <f>$B$31*$B$30/($B$30-L$4+$B6)</f>
        <v>0.73666666666666669</v>
      </c>
      <c r="M6" s="11">
        <f>IF('New RPD &amp; RPB'!$H$8&gt;0,90,270)+(L$4+$B6)/2*$V$31</f>
        <v>277.12191183778015</v>
      </c>
      <c r="N6" s="82">
        <f>$B$31*$B$30/($B$30-N$4+$B6)</f>
        <v>0.76206896551724146</v>
      </c>
      <c r="O6" s="92">
        <f>IF('New RPD &amp; RPB'!$H$8&gt;0,90,270)+(N$4+$B6)/2*$V$31</f>
        <v>275.93492653148348</v>
      </c>
      <c r="P6" s="10">
        <f>$B$31*$B$30/($B$30-P$4+$B6)</f>
        <v>0.78928571428571437</v>
      </c>
      <c r="Q6" s="11">
        <f>IF('New RPD &amp; RPB'!$H$8&gt;0,90,270)+(P$4+$B6)/2*$V$31</f>
        <v>274.74794122518676</v>
      </c>
      <c r="R6" s="82">
        <f>$B$31*$B$30/($B$30-R$4+$B6)</f>
        <v>0.81851851851851853</v>
      </c>
      <c r="S6" s="81">
        <f>IF('New RPD &amp; RPB'!$H$8&gt;0,90,270)+(R$4+$B6)/2*$V$31</f>
        <v>273.5609559188901</v>
      </c>
      <c r="T6" s="82">
        <f>$B$31*$B$30/($B$30-T$4+$B6)</f>
        <v>0.85000000000000009</v>
      </c>
      <c r="U6" s="83">
        <f>IF('New RPD &amp; RPB'!$H$8&gt;0,90,270)+(T$4+$B6)/2*$V$31</f>
        <v>272.37397061259338</v>
      </c>
      <c r="V6" s="10">
        <f>$B$31*$B$30/($B$30-V$4+$B6)</f>
        <v>0.88400000000000001</v>
      </c>
      <c r="W6" s="95">
        <f>IF('New RPD &amp; RPB'!$H$8&gt;0,90,270)+(V$4+$B6)/2*$V$31</f>
        <v>271.18698530629672</v>
      </c>
      <c r="X6" s="10">
        <f>$B$31*$B$30/($B$30-X$4+$B6)</f>
        <v>0.92083333333333339</v>
      </c>
      <c r="Y6" s="11">
        <f>IF('New RPD &amp; RPB'!$H$8&gt;0,90,270)+(X$4+$B6)/2*$V$31</f>
        <v>270</v>
      </c>
    </row>
    <row r="7" spans="1:27" ht="15" customHeight="1" thickBot="1" x14ac:dyDescent="0.3">
      <c r="A7" s="142"/>
      <c r="B7" s="149"/>
      <c r="C7" s="137"/>
      <c r="D7" s="12">
        <f>SQRT(POWER($E$30-($E$31+SIN(RADIANS(E6+$D$30-$B6))*D6),2)+POWER($F$30-($F$31+COS(RADIANS(E6+$D$30-$B6))*D6),2))</f>
        <v>0.90919157776214332</v>
      </c>
      <c r="E7" s="13">
        <f>MOD(DEGREES(ATAN2($F$30-($F$31+COS(RADIANS(E6+$D$30-$B6))*D6),$E$30-($E$31+SIN(RADIANS(E6+$D$30-$B6))*D6))),360)</f>
        <v>300.25655254971878</v>
      </c>
      <c r="F7" s="87">
        <f>SQRT(POWER($E$30-($E$31+SIN(RADIANS(G6+$D$30-$B6))*F6),2)+POWER($F$30-($F$31+COS(RADIANS(G6+$D$30-$B6))*F6),2))</f>
        <v>0.92651359553715051</v>
      </c>
      <c r="G7" s="93">
        <f>MOD(DEGREES(ATAN2($F$30-($F$31+COS(RADIANS(G6+$D$30-$B6))*F6),$E$30-($E$31+SIN(RADIANS(G6+$D$30-$B6))*F6))),360)</f>
        <v>301.29129899072836</v>
      </c>
      <c r="H7" s="12">
        <f>SQRT(POWER($E$30-($E$31+SIN(RADIANS(I6+$D$30-$B6))*H6),2)+POWER($F$30-($F$31+COS(RADIANS(I6+$D$30-$B6))*H6),2))</f>
        <v>0.94516678168219215</v>
      </c>
      <c r="I7" s="13">
        <f>MOD(DEGREES(ATAN2($F$30-($F$31+COS(RADIANS(I6+$D$30-$B6))*H6),$E$30-($E$31+SIN(RADIANS(I6+$D$30-$B6))*H6))),360)</f>
        <v>302.33133619452639</v>
      </c>
      <c r="J7" s="87">
        <f>SQRT(POWER($E$30-($E$31+SIN(RADIANS(K6+$D$30-$B6))*J6),2)+POWER($F$30-($F$31+COS(RADIANS(K6+$D$30-$B6))*J6),2))</f>
        <v>0.96526812992031852</v>
      </c>
      <c r="K7" s="93">
        <f>MOD(DEGREES(ATAN2($F$30-($F$31+COS(RADIANS(K6+$D$30-$B6))*J6),$E$30-($E$31+SIN(RADIANS(K6+$D$30-$B6))*J6))),360)</f>
        <v>303.37646635319186</v>
      </c>
      <c r="L7" s="12">
        <f>SQRT(POWER($E$30-($E$31+SIN(RADIANS(M6+$D$30-$B6))*L6),2)+POWER($F$30-($F$31+COS(RADIANS(M6+$D$30-$B6))*L6),2))</f>
        <v>0.98695024316134183</v>
      </c>
      <c r="M7" s="13">
        <f>MOD(DEGREES(ATAN2($F$30-($F$31+COS(RADIANS(M6+$D$30-$B6))*L6),$E$30-($E$31+SIN(RADIANS(M6+$D$30-$B6))*L6))),360)</f>
        <v>304.42652952222028</v>
      </c>
      <c r="N7" s="87">
        <f>SQRT(POWER($E$30-($E$31+SIN(RADIANS(O6+$D$30-$B6))*N6),2)+POWER($F$30-($F$31+COS(RADIANS(O6+$D$30-$B6))*N6),2))</f>
        <v>1.010364070623474</v>
      </c>
      <c r="O7" s="93">
        <f>MOD(DEGREES(ATAN2($F$30-($F$31+COS(RADIANS(O6+$D$30-$B6))*N6),$E$30-($E$31+SIN(RADIANS(O6+$D$30-$B6))*N6))),360)</f>
        <v>305.48140630376281</v>
      </c>
      <c r="P7" s="12">
        <f>SQRT(POWER($E$30-($E$31+SIN(RADIANS(Q6+$D$30-$B6))*P6),2)+POWER($F$30-($F$31+COS(RADIANS(Q6+$D$30-$B6))*P6),2))</f>
        <v>1.0356822322066477</v>
      </c>
      <c r="Q7" s="13">
        <f>MOD(DEGREES(ATAN2($F$30-($F$31+COS(RADIANS(Q6+$D$30-$B6))*P6),$E$30-($E$31+SIN(RADIANS(Q6+$D$30-$B6))*P6))),360)</f>
        <v>306.54102038971956</v>
      </c>
      <c r="R7" s="87">
        <f>SQRT(POWER($E$30-($E$31+SIN(RADIANS(S6+$D$30-$B6))*R6),2)+POWER($F$30-($F$31+COS(RADIANS(S6+$D$30-$B6))*R6),2))</f>
        <v>1.0631030821981517</v>
      </c>
      <c r="S7" s="84">
        <f>MOD(DEGREES(ATAN2($F$30-($F$31+COS(RADIANS(S6+$D$30-$B6))*R6),$E$30-($E$31+SIN(RADIANS(S6+$D$30-$B6))*R6))),360)</f>
        <v>307.60534095630726</v>
      </c>
      <c r="T7" s="85">
        <f>SQRT(POWER($E$30-($E$31+SIN(RADIANS(U6+$D$30-$B6))*T6),2)+POWER($F$30-($F$31+COS(RADIANS(U6+$D$30-$B6))*T6),2))</f>
        <v>1.0928557112030013</v>
      </c>
      <c r="U7" s="86">
        <f>MOD(DEGREES(ATAN2($F$30-($F$31+COS(RADIANS(U6+$D$30-$B6))*T6),$E$30-($E$31+SIN(RADIANS(U6+$D$30-$B6))*T6))),360)</f>
        <v>308.67438490391703</v>
      </c>
      <c r="V7" s="96">
        <f>SQRT(POWER($E$30-($E$31+SIN(RADIANS(W6+$D$30-$B6))*V6),2)+POWER($F$30-($F$31+COS(RADIANS(W6+$D$30-$B6))*V6),2))</f>
        <v>1.1252061488582712</v>
      </c>
      <c r="W7" s="97">
        <f>MOD(DEGREES(ATAN2($F$30-($F$31+COS(RADIANS(W6+$D$30-$B6))*V6),$E$30-($E$31+SIN(RADIANS(W6+$D$30-$B6))*V6))),360)</f>
        <v>309.74821893809599</v>
      </c>
      <c r="X7" s="12">
        <f>SQRT(POWER($E$30-($E$31+SIN(RADIANS(Y6+$D$30-$B6))*X6),2)+POWER($F$30-($F$31+COS(RADIANS(Y6+$D$30-$B6))*X6),2))</f>
        <v>1.1604651174351801</v>
      </c>
      <c r="Y7" s="13">
        <f>MOD(DEGREES(ATAN2($F$30-($F$31+COS(RADIANS(Y6+$D$30-$B6))*X6),$E$30-($E$31+SIN(RADIANS(Y6+$D$30-$B6))*X6))),360)</f>
        <v>310.82696148923378</v>
      </c>
    </row>
    <row r="8" spans="1:27" ht="15" customHeight="1" thickTop="1" x14ac:dyDescent="0.25">
      <c r="A8" s="142"/>
      <c r="B8" s="153">
        <f>B6-2</f>
        <v>8</v>
      </c>
      <c r="C8" s="136">
        <f>MOD('New RPD &amp; RPB'!E$6-B8,360)</f>
        <v>280</v>
      </c>
      <c r="D8" s="88">
        <f>$B$31*$B$30/($B$30-D$4+$B8)</f>
        <v>0.63142857142857145</v>
      </c>
      <c r="E8" s="89">
        <f>IF('New RPD &amp; RPB'!$H$8&gt;0,90,270)+(D$4+$B8)/2*$V$31</f>
        <v>280.68286775667025</v>
      </c>
      <c r="F8" s="79">
        <f>$B$31*$B$30/($B$30-F$4+$B8)</f>
        <v>0.65</v>
      </c>
      <c r="G8" s="94">
        <f>IF('New RPD &amp; RPB'!$H$8&gt;0,90,270)+(F$4+$B8)/2*$V$31</f>
        <v>279.49588245037353</v>
      </c>
      <c r="H8" s="88">
        <f>$B$31*$B$30/($B$30-H$4+$B8)</f>
        <v>0.66969696969696979</v>
      </c>
      <c r="I8" s="89">
        <f>IF('New RPD &amp; RPB'!$H$8&gt;0,90,270)+(H$4+$B8)/2*$V$31</f>
        <v>278.30889714407687</v>
      </c>
      <c r="J8" s="79">
        <f>$B$31*$B$30/($B$30-J$4+$B8)</f>
        <v>0.69062500000000004</v>
      </c>
      <c r="K8" s="94">
        <f>IF('New RPD &amp; RPB'!$H$8&gt;0,90,270)+(J$4+$B8)/2*$V$31</f>
        <v>277.12191183778015</v>
      </c>
      <c r="L8" s="88">
        <f>$B$31*$B$30/($B$30-L$4+$B8)</f>
        <v>0.71290322580645171</v>
      </c>
      <c r="M8" s="89">
        <f>IF('New RPD &amp; RPB'!$H$8&gt;0,90,270)+(L$4+$B8)/2*$V$31</f>
        <v>275.93492653148348</v>
      </c>
      <c r="N8" s="79">
        <f>$B$31*$B$30/($B$30-N$4+$B8)</f>
        <v>0.73666666666666669</v>
      </c>
      <c r="O8" s="94">
        <f>IF('New RPD &amp; RPB'!$H$8&gt;0,90,270)+(N$4+$B8)/2*$V$31</f>
        <v>274.74794122518676</v>
      </c>
      <c r="P8" s="88">
        <f>$B$31*$B$30/($B$30-P$4+$B8)</f>
        <v>0.76206896551724146</v>
      </c>
      <c r="Q8" s="89">
        <f>IF('New RPD &amp; RPB'!$H$8&gt;0,90,270)+(P$4+$B8)/2*$V$31</f>
        <v>273.5609559188901</v>
      </c>
      <c r="R8" s="79">
        <f>$B$31*$B$30/($B$30-R$4+$B8)</f>
        <v>0.78928571428571437</v>
      </c>
      <c r="S8" s="78">
        <f>IF('New RPD &amp; RPB'!$H$8&gt;0,90,270)+(R$4+$B8)/2*$V$31</f>
        <v>272.37397061259338</v>
      </c>
      <c r="T8" s="79">
        <f>$B$31*$B$30/($B$30-T$4+$B8)</f>
        <v>0.81851851851851853</v>
      </c>
      <c r="U8" s="80">
        <f>IF('New RPD &amp; RPB'!$H$8&gt;0,90,270)+(T$4+$B8)/2*$V$31</f>
        <v>271.18698530629672</v>
      </c>
      <c r="V8" s="88">
        <f>$B$31*$B$30/($B$30-V$4+$B8)</f>
        <v>0.85000000000000009</v>
      </c>
      <c r="W8" s="98">
        <f>IF('New RPD &amp; RPB'!$H$8&gt;0,90,270)+(V$4+$B8)/2*$V$31</f>
        <v>270</v>
      </c>
      <c r="X8" s="88">
        <f>$B$31*$B$30/($B$30-X$4+$B8)</f>
        <v>0.88400000000000001</v>
      </c>
      <c r="Y8" s="89">
        <f>IF('New RPD &amp; RPB'!$H$8&gt;0,90,270)+(X$4+$B8)/2*$V$31</f>
        <v>268.81301469370328</v>
      </c>
    </row>
    <row r="9" spans="1:27" ht="15" customHeight="1" thickBot="1" x14ac:dyDescent="0.3">
      <c r="A9" s="142"/>
      <c r="B9" s="149"/>
      <c r="C9" s="137"/>
      <c r="D9" s="90">
        <f>SQRT(POWER($E$30-($E$31+SIN(RADIANS(E8+$D$30-$B8))*D8),2)+POWER($F$30-($F$31+COS(RADIANS(E8+$D$30-$B8))*D8),2))</f>
        <v>0.89717484863222197</v>
      </c>
      <c r="E9" s="91">
        <f>MOD(DEGREES(ATAN2($F$30-($F$31+COS(RADIANS(E8+$D$30-$B8))*D8),$E$30-($E$31+SIN(RADIANS(E8+$D$30-$B8))*D8))),360)</f>
        <v>299.18907410869269</v>
      </c>
      <c r="F9" s="17">
        <f>SQRT(POWER($E$30-($E$31+SIN(RADIANS(G8+$D$30-$B8))*F8),2)+POWER($F$30-($F$31+COS(RADIANS(G8+$D$30-$B8))*F8),2))</f>
        <v>0.91336242432320047</v>
      </c>
      <c r="G9" s="14">
        <f>MOD(DEGREES(ATAN2($F$30-($F$31+COS(RADIANS(G8+$D$30-$B8))*F8),$E$30-($E$31+SIN(RADIANS(G8+$D$30-$B8))*F8))),360)</f>
        <v>300.2077162486857</v>
      </c>
      <c r="H9" s="90">
        <f>SQRT(POWER($E$30-($E$31+SIN(RADIANS(I8+$D$30-$B8))*H8),2)+POWER($F$30-($F$31+COS(RADIANS(I8+$D$30-$B8))*H8),2))</f>
        <v>0.93077666810050252</v>
      </c>
      <c r="I9" s="91">
        <f>MOD(DEGREES(ATAN2($F$30-($F$31+COS(RADIANS(I8+$D$30-$B8))*H8),$E$30-($E$31+SIN(RADIANS(I8+$D$30-$B8))*H8))),360)</f>
        <v>301.23170732953156</v>
      </c>
      <c r="J9" s="17">
        <f>SQRT(POWER($E$30-($E$31+SIN(RADIANS(K8+$D$30-$B8))*J8),2)+POWER($F$30-($F$31+COS(RADIANS(K8+$D$30-$B8))*J8),2))</f>
        <v>0.9495211607979096</v>
      </c>
      <c r="K9" s="14">
        <f>MOD(DEGREES(ATAN2($F$30-($F$31+COS(RADIANS(K8+$D$30-$B8))*J8),$E$30-($E$31+SIN(RADIANS(K8+$D$30-$B8))*J8))),360)</f>
        <v>302.26083362232794</v>
      </c>
      <c r="L9" s="90">
        <f>SQRT(POWER($E$30-($E$31+SIN(RADIANS(M8+$D$30-$B8))*L8),2)+POWER($F$30-($F$31+COS(RADIANS(M8+$D$30-$B8))*L8),2))</f>
        <v>0.96971282893521038</v>
      </c>
      <c r="M9" s="91">
        <f>MOD(DEGREES(ATAN2($F$30-($F$31+COS(RADIANS(M8+$D$30-$B8))*L8),$E$30-($E$31+SIN(RADIANS(M8+$D$30-$B8))*L8))),360)</f>
        <v>303.294916901492</v>
      </c>
      <c r="N9" s="17">
        <f>SQRT(POWER($E$30-($E$31+SIN(RADIANS(O8+$D$30-$B8))*N8),2)+POWER($F$30-($F$31+COS(RADIANS(O8+$D$30-$B8))*N8),2))</f>
        <v>0.99148421198018322</v>
      </c>
      <c r="O9" s="14">
        <f>MOD(DEGREES(ATAN2($F$30-($F$31+COS(RADIANS(O8+$D$30-$B8))*N8),$E$30-($E$31+SIN(RADIANS(O8+$D$30-$B8))*N8))),360)</f>
        <v>304.33381717253366</v>
      </c>
      <c r="P9" s="90">
        <f>SQRT(POWER($E$30-($E$31+SIN(RADIANS(Q8+$D$30-$B8))*P8),2)+POWER($F$30-($F$31+COS(RADIANS(Q8+$D$30-$B8))*P8),2))</f>
        <v>1.014986199500552</v>
      </c>
      <c r="Q9" s="91">
        <f>MOD(DEGREES(ATAN2($F$30-($F$31+COS(RADIANS(Q8+$D$30-$B8))*P8),$E$30-($E$31+SIN(RADIANS(Q8+$D$30-$B8))*P8))),360)</f>
        <v>305.37743527626776</v>
      </c>
      <c r="R9" s="17">
        <f>SQRT(POWER($E$30-($E$31+SIN(RADIANS(S8+$D$30-$B8))*R8),2)+POWER($F$30-($F$31+COS(RADIANS(S8+$D$30-$B8))*R8),2))</f>
        <v>1.0403913555132451</v>
      </c>
      <c r="S9" s="18">
        <f>MOD(DEGREES(ATAN2($F$30-($F$31+COS(RADIANS(S8+$D$30-$B8))*R8),$E$30-($E$31+SIN(RADIANS(S8+$D$30-$B8))*R8))),360)</f>
        <v>306.425715360396</v>
      </c>
      <c r="T9" s="15">
        <f>SQRT(POWER($E$30-($E$31+SIN(RADIANS(U8+$D$30-$B8))*T8),2)+POWER($F$30-($F$31+COS(RADIANS(U8+$D$30-$B8))*T8),2))</f>
        <v>1.067897982110726</v>
      </c>
      <c r="U9" s="16">
        <f>MOD(DEGREES(ATAN2($F$30-($F$31+COS(RADIANS(U8+$D$30-$B8))*T8),$E$30-($E$31+SIN(RADIANS(U8+$D$30-$B8))*T8))),360)</f>
        <v>307.47864721158419</v>
      </c>
      <c r="V9" s="99">
        <f>SQRT(POWER($E$30-($E$31+SIN(RADIANS(W8+$D$30-$B8))*V8),2)+POWER($F$30-($F$31+COS(RADIANS(W8+$D$30-$B8))*V8),2))</f>
        <v>1.0977351212563879</v>
      </c>
      <c r="W9" s="100">
        <f>MOD(DEGREES(ATAN2($F$30-($F$31+COS(RADIANS(W8+$D$30-$B8))*V8),$E$30-($E$31+SIN(RADIANS(W8+$D$30-$B8))*V8))),360)</f>
        <v>308.53626844322923</v>
      </c>
      <c r="X9" s="90">
        <f>SQRT(POWER($E$30-($E$31+SIN(RADIANS(Y8+$D$30-$B8))*X8),2)+POWER($F$30-($F$31+COS(RADIANS(Y8+$D$30-$B8))*X8),2))</f>
        <v>1.1301687573081951</v>
      </c>
      <c r="Y9" s="91">
        <f>MOD(DEGREES(ATAN2($F$30-($F$31+COS(RADIANS(Y8+$D$30-$B8))*X8),$E$30-($E$31+SIN(RADIANS(Y8+$D$30-$B8))*X8))),360)</f>
        <v>309.59866653598579</v>
      </c>
    </row>
    <row r="10" spans="1:27" ht="15" customHeight="1" thickTop="1" x14ac:dyDescent="0.25">
      <c r="A10" s="142"/>
      <c r="B10" s="153">
        <f>B8-2</f>
        <v>6</v>
      </c>
      <c r="C10" s="136">
        <f>MOD('New RPD &amp; RPB'!E$6-B10,360)</f>
        <v>282</v>
      </c>
      <c r="D10" s="10">
        <f>$B$31*$B$30/($B$30-D$4+$B10)</f>
        <v>0.61388888888888893</v>
      </c>
      <c r="E10" s="11">
        <f>IF('New RPD &amp; RPB'!$H$8&gt;0,90,270)+(D$4+$B10)/2*$V$31</f>
        <v>279.49588245037353</v>
      </c>
      <c r="F10" s="82">
        <f>$B$31*$B$30/($B$30-F$4+$B10)</f>
        <v>0.63142857142857145</v>
      </c>
      <c r="G10" s="92">
        <f>IF('New RPD &amp; RPB'!$H$8&gt;0,90,270)+(F$4+$B10)/2*$V$31</f>
        <v>278.30889714407687</v>
      </c>
      <c r="H10" s="10">
        <f>$B$31*$B$30/($B$30-H$4+$B10)</f>
        <v>0.65</v>
      </c>
      <c r="I10" s="11">
        <f>IF('New RPD &amp; RPB'!$H$8&gt;0,90,270)+(H$4+$B10)/2*$V$31</f>
        <v>277.12191183778015</v>
      </c>
      <c r="J10" s="82">
        <f>$B$31*$B$30/($B$30-J$4+$B10)</f>
        <v>0.66969696969696979</v>
      </c>
      <c r="K10" s="92">
        <f>IF('New RPD &amp; RPB'!$H$8&gt;0,90,270)+(J$4+$B10)/2*$V$31</f>
        <v>275.93492653148348</v>
      </c>
      <c r="L10" s="10">
        <f>$B$31*$B$30/($B$30-L$4+$B10)</f>
        <v>0.69062500000000004</v>
      </c>
      <c r="M10" s="11">
        <f>IF('New RPD &amp; RPB'!$H$8&gt;0,90,270)+(L$4+$B10)/2*$V$31</f>
        <v>274.74794122518676</v>
      </c>
      <c r="N10" s="82">
        <f>$B$31*$B$30/($B$30-N$4+$B10)</f>
        <v>0.71290322580645171</v>
      </c>
      <c r="O10" s="92">
        <f>IF('New RPD &amp; RPB'!$H$8&gt;0,90,270)+(N$4+$B10)/2*$V$31</f>
        <v>273.5609559188901</v>
      </c>
      <c r="P10" s="10">
        <f>$B$31*$B$30/($B$30-P$4+$B10)</f>
        <v>0.73666666666666669</v>
      </c>
      <c r="Q10" s="11">
        <f>IF('New RPD &amp; RPB'!$H$8&gt;0,90,270)+(P$4+$B10)/2*$V$31</f>
        <v>272.37397061259338</v>
      </c>
      <c r="R10" s="82">
        <f>$B$31*$B$30/($B$30-R$4+$B10)</f>
        <v>0.76206896551724146</v>
      </c>
      <c r="S10" s="81">
        <f>IF('New RPD &amp; RPB'!$H$8&gt;0,90,270)+(R$4+$B10)/2*$V$31</f>
        <v>271.18698530629672</v>
      </c>
      <c r="T10" s="82">
        <f>$B$31*$B$30/($B$30-T$4+$B10)</f>
        <v>0.78928571428571437</v>
      </c>
      <c r="U10" s="83">
        <f>IF('New RPD &amp; RPB'!$H$8&gt;0,90,270)+(T$4+$B10)/2*$V$31</f>
        <v>270</v>
      </c>
      <c r="V10" s="10">
        <f>$B$31*$B$30/($B$30-V$4+$B10)</f>
        <v>0.81851851851851853</v>
      </c>
      <c r="W10" s="95">
        <f>IF('New RPD &amp; RPB'!$H$8&gt;0,90,270)+(V$4+$B10)/2*$V$31</f>
        <v>268.81301469370328</v>
      </c>
      <c r="X10" s="10">
        <f>$B$31*$B$30/($B$30-X$4+$B10)</f>
        <v>0.85000000000000009</v>
      </c>
      <c r="Y10" s="11">
        <f>IF('New RPD &amp; RPB'!$H$8&gt;0,90,270)+(X$4+$B10)/2*$V$31</f>
        <v>267.62602938740662</v>
      </c>
    </row>
    <row r="11" spans="1:27" ht="15" customHeight="1" thickBot="1" x14ac:dyDescent="0.3">
      <c r="A11" s="142"/>
      <c r="B11" s="149"/>
      <c r="C11" s="137"/>
      <c r="D11" s="12">
        <f>SQRT(POWER($E$30-($E$31+SIN(RADIANS(E10+$D$30-$B10))*D10),2)+POWER($F$30-($F$31+COS(RADIANS(E10+$D$30-$B10))*D10),2))</f>
        <v>0.88610308761774259</v>
      </c>
      <c r="E11" s="13">
        <f>MOD(DEGREES(ATAN2($F$30-($F$31+COS(RADIANS(E10+$D$30-$B10))*D10),$E$30-($E$31+SIN(RADIANS(E10+$D$30-$B10))*D10))),360)</f>
        <v>298.14672878179226</v>
      </c>
      <c r="F11" s="87">
        <f>SQRT(POWER($E$30-($E$31+SIN(RADIANS(G10+$D$30-$B10))*F10),2)+POWER($F$30-($F$31+COS(RADIANS(G10+$D$30-$B10))*F10),2))</f>
        <v>0.90124905600827954</v>
      </c>
      <c r="G11" s="93">
        <f>MOD(DEGREES(ATAN2($F$30-($F$31+COS(RADIANS(G10+$D$30-$B10))*F10),$E$30-($E$31+SIN(RADIANS(G10+$D$30-$B10))*F10))),360)</f>
        <v>299.14947319429291</v>
      </c>
      <c r="H11" s="12">
        <f>SQRT(POWER($E$30-($E$31+SIN(RADIANS(I10+$D$30-$B10))*H10),2)+POWER($F$30-($F$31+COS(RADIANS(I10+$D$30-$B10))*H10),2))</f>
        <v>0.91752880485417632</v>
      </c>
      <c r="I11" s="13">
        <f>MOD(DEGREES(ATAN2($F$30-($F$31+COS(RADIANS(I10+$D$30-$B10))*H10),$E$30-($E$31+SIN(RADIANS(I10+$D$30-$B10))*H10))),360)</f>
        <v>300.15762463901814</v>
      </c>
      <c r="J11" s="87">
        <f>SQRT(POWER($E$30-($E$31+SIN(RADIANS(K10+$D$30-$B10))*J10),2)+POWER($F$30-($F$31+COS(RADIANS(K10+$D$30-$B10))*J10),2))</f>
        <v>0.93503438695640761</v>
      </c>
      <c r="K11" s="93">
        <f>MOD(DEGREES(ATAN2($F$30-($F$31+COS(RADIANS(K10+$D$30-$B10))*J10),$E$30-($E$31+SIN(RADIANS(K10+$D$30-$B10))*J10))),360)</f>
        <v>301.17095475226841</v>
      </c>
      <c r="L11" s="12">
        <f>SQRT(POWER($E$30-($E$31+SIN(RADIANS(M10+$D$30-$B10))*L10),2)+POWER($F$30-($F$31+COS(RADIANS(M10+$D$30-$B10))*L10),2))</f>
        <v>0.95386931571911637</v>
      </c>
      <c r="M11" s="13">
        <f>MOD(DEGREES(ATAN2($F$30-($F$31+COS(RADIANS(M10+$D$30-$B10))*L10),$E$30-($E$31+SIN(RADIANS(M10+$D$30-$B10))*L10))),360)</f>
        <v>302.18926832977672</v>
      </c>
      <c r="N11" s="87">
        <f>SQRT(POWER($E$30-($E$31+SIN(RADIANS(O10+$D$30-$B10))*N10),2)+POWER($F$30-($F$31+COS(RADIANS(O10+$D$30-$B10))*N10),2))</f>
        <v>0.97415045386906951</v>
      </c>
      <c r="O11" s="93">
        <f>MOD(DEGREES(ATAN2($F$30-($F$31+COS(RADIANS(O10+$D$30-$B10))*N10),$E$30-($E$31+SIN(RADIANS(O10+$D$30-$B10))*N10))),360)</f>
        <v>303.212406082423</v>
      </c>
      <c r="P11" s="12">
        <f>SQRT(POWER($E$30-($E$31+SIN(RADIANS(Q10+$D$30-$B10))*P10),2)+POWER($F$30-($F$31+COS(RADIANS(Q10+$D$30-$B10))*P10),2))</f>
        <v>0.99601028078506459</v>
      </c>
      <c r="Q11" s="13">
        <f>MOD(DEGREES(ATAN2($F$30-($F$31+COS(RADIANS(Q10+$D$30-$B10))*P10),$E$30-($E$31+SIN(RADIANS(Q10+$D$30-$B10))*P10))),360)</f>
        <v>304.2402472842146</v>
      </c>
      <c r="R11" s="87">
        <f>SQRT(POWER($E$30-($E$31+SIN(RADIANS(S10+$D$30-$B10))*R10),2)+POWER($F$30-($F$31+COS(RADIANS(S10+$D$30-$B10))*R10),2))</f>
        <v>1.0195996296659273</v>
      </c>
      <c r="S11" s="84">
        <f>MOD(DEGREES(ATAN2($F$30-($F$31+COS(RADIANS(S10+$D$30-$B10))*R10),$E$30-($E$31+SIN(RADIANS(S10+$D$30-$B10))*R10))),360)</f>
        <v>305.27271230283219</v>
      </c>
      <c r="T11" s="85">
        <f>SQRT(POWER($E$30-($E$31+SIN(RADIANS(U10+$D$30-$B10))*T10),2)+POWER($F$30-($F$31+COS(RADIANS(U10+$D$30-$B10))*T10),2))</f>
        <v>1.045091011843289</v>
      </c>
      <c r="U11" s="86">
        <f>MOD(DEGREES(ATAN2($F$30-($F$31+COS(RADIANS(U10+$D$30-$B10))*T10),$E$30-($E$31+SIN(RADIANS(U10+$D$30-$B10))*T10))),360)</f>
        <v>306.30976500519188</v>
      </c>
      <c r="V11" s="96">
        <f>SQRT(POWER($E$30-($E$31+SIN(RADIANS(W10+$D$30-$B10))*V10),2)+POWER($F$30-($F$31+COS(RADIANS(W10+$D$30-$B10))*V10),2))</f>
        <v>1.0726826803181271</v>
      </c>
      <c r="W11" s="97">
        <f>MOD(DEGREES(ATAN2($F$30-($F$31+COS(RADIANS(W10+$D$30-$B10))*V10),$E$30-($E$31+SIN(RADIANS(W10+$D$30-$B10))*V10))),360)</f>
        <v>307.35141503256847</v>
      </c>
      <c r="X11" s="12">
        <f>SQRT(POWER($E$30-($E$31+SIN(RADIANS(Y10+$D$30-$B10))*X10),2)+POWER($F$30-($F$31+COS(RADIANS(Y10+$D$30-$B10))*X10),2))</f>
        <v>1.102603631412675</v>
      </c>
      <c r="Y11" s="13">
        <f>MOD(DEGREES(ATAN2($F$30-($F$31+COS(RADIANS(Y10+$D$30-$B10))*X10),$E$30-($E$31+SIN(RADIANS(Y10+$D$30-$B10))*X10))),360)</f>
        <v>308.39771994177164</v>
      </c>
    </row>
    <row r="12" spans="1:27" ht="15" customHeight="1" thickTop="1" x14ac:dyDescent="0.25">
      <c r="A12" s="142"/>
      <c r="B12" s="153">
        <f>B10-2</f>
        <v>4</v>
      </c>
      <c r="C12" s="136">
        <f>MOD('New RPD &amp; RPB'!E$6-B12,360)</f>
        <v>284</v>
      </c>
      <c r="D12" s="88">
        <f>$B$31*$B$30/($B$30-D$4+$B12)</f>
        <v>0.5972972972972973</v>
      </c>
      <c r="E12" s="89">
        <f>IF('New RPD &amp; RPB'!$H$8&gt;0,90,270)+(D$4+$B12)/2*$V$31</f>
        <v>278.30889714407687</v>
      </c>
      <c r="F12" s="79">
        <f>$B$31*$B$30/($B$30-F$4+$B12)</f>
        <v>0.61388888888888893</v>
      </c>
      <c r="G12" s="94">
        <f>IF('New RPD &amp; RPB'!$H$8&gt;0,90,270)+(F$4+$B12)/2*$V$31</f>
        <v>277.12191183778015</v>
      </c>
      <c r="H12" s="88">
        <f>$B$31*$B$30/($B$30-H$4+$B12)</f>
        <v>0.63142857142857145</v>
      </c>
      <c r="I12" s="89">
        <f>IF('New RPD &amp; RPB'!$H$8&gt;0,90,270)+(H$4+$B12)/2*$V$31</f>
        <v>275.93492653148348</v>
      </c>
      <c r="J12" s="79">
        <f>$B$31*$B$30/($B$30-J$4+$B12)</f>
        <v>0.65</v>
      </c>
      <c r="K12" s="94">
        <f>IF('New RPD &amp; RPB'!$H$8&gt;0,90,270)+(J$4+$B12)/2*$V$31</f>
        <v>274.74794122518676</v>
      </c>
      <c r="L12" s="88">
        <f>$B$31*$B$30/($B$30-L$4+$B12)</f>
        <v>0.66969696969696979</v>
      </c>
      <c r="M12" s="89">
        <f>IF('New RPD &amp; RPB'!$H$8&gt;0,90,270)+(L$4+$B12)/2*$V$31</f>
        <v>273.5609559188901</v>
      </c>
      <c r="N12" s="79">
        <f>$B$31*$B$30/($B$30-N$4+$B12)</f>
        <v>0.69062500000000004</v>
      </c>
      <c r="O12" s="94">
        <f>IF('New RPD &amp; RPB'!$H$8&gt;0,90,270)+(N$4+$B12)/2*$V$31</f>
        <v>272.37397061259338</v>
      </c>
      <c r="P12" s="88">
        <f>$B$31*$B$30/($B$30-P$4+$B12)</f>
        <v>0.71290322580645171</v>
      </c>
      <c r="Q12" s="89">
        <f>IF('New RPD &amp; RPB'!$H$8&gt;0,90,270)+(P$4+$B12)/2*$V$31</f>
        <v>271.18698530629672</v>
      </c>
      <c r="R12" s="79">
        <f>$B$31*$B$30/($B$30-R$4+$B12)</f>
        <v>0.73666666666666669</v>
      </c>
      <c r="S12" s="78">
        <f>IF('New RPD &amp; RPB'!$H$8&gt;0,90,270)+(R$4+$B12)/2*$V$31</f>
        <v>270</v>
      </c>
      <c r="T12" s="79">
        <f>$B$31*$B$30/($B$30-T$4+$B12)</f>
        <v>0.76206896551724146</v>
      </c>
      <c r="U12" s="80">
        <f>IF('New RPD &amp; RPB'!$H$8&gt;0,90,270)+(T$4+$B12)/2*$V$31</f>
        <v>268.81301469370328</v>
      </c>
      <c r="V12" s="88">
        <f>$B$31*$B$30/($B$30-V$4+$B12)</f>
        <v>0.78928571428571437</v>
      </c>
      <c r="W12" s="98">
        <f>IF('New RPD &amp; RPB'!$H$8&gt;0,90,270)+(V$4+$B12)/2*$V$31</f>
        <v>267.62602938740662</v>
      </c>
      <c r="X12" s="88">
        <f>$B$31*$B$30/($B$30-X$4+$B12)</f>
        <v>0.81851851851851853</v>
      </c>
      <c r="Y12" s="89">
        <f>IF('New RPD &amp; RPB'!$H$8&gt;0,90,270)+(X$4+$B12)/2*$V$31</f>
        <v>266.4390440811099</v>
      </c>
    </row>
    <row r="13" spans="1:27" ht="15" customHeight="1" thickBot="1" x14ac:dyDescent="0.3">
      <c r="A13" s="142"/>
      <c r="B13" s="149"/>
      <c r="C13" s="137"/>
      <c r="D13" s="90">
        <f>SQRT(POWER($E$30-($E$31+SIN(RADIANS(E12+$D$30-$B12))*D12),2)+POWER($F$30-($F$31+COS(RADIANS(E12+$D$30-$B12))*D12),2))</f>
        <v>0.87589449371218198</v>
      </c>
      <c r="E13" s="91">
        <f>MOD(DEGREES(ATAN2($F$30-($F$31+COS(RADIANS(E12+$D$30-$B12))*D12),$E$30-($E$31+SIN(RADIANS(E12+$D$30-$B12))*D12))),360)</f>
        <v>297.12895914846371</v>
      </c>
      <c r="F13" s="17">
        <f>SQRT(POWER($E$30-($E$31+SIN(RADIANS(G12+$D$30-$B12))*F12),2)+POWER($F$30-($F$31+COS(RADIANS(G12+$D$30-$B12))*F12),2))</f>
        <v>0.89008157215124817</v>
      </c>
      <c r="G13" s="14">
        <f>MOD(DEGREES(ATAN2($F$30-($F$31+COS(RADIANS(G12+$D$30-$B12))*F12),$E$30-($E$31+SIN(RADIANS(G12+$D$30-$B12))*F12))),360)</f>
        <v>298.11602010873008</v>
      </c>
      <c r="H13" s="90">
        <f>SQRT(POWER($E$30-($E$31+SIN(RADIANS(I12+$D$30-$B12))*H12),2)+POWER($F$30-($F$31+COS(RADIANS(I12+$D$30-$B12))*H12),2))</f>
        <v>0.90531957449824707</v>
      </c>
      <c r="I13" s="91">
        <f>MOD(DEGREES(ATAN2($F$30-($F$31+COS(RADIANS(I12+$D$30-$B12))*H12),$E$30-($E$31+SIN(RADIANS(I12+$D$30-$B12))*H12))),360)</f>
        <v>299.10854633034478</v>
      </c>
      <c r="J13" s="17">
        <f>SQRT(POWER($E$30-($E$31+SIN(RADIANS(K12+$D$30-$B12))*J12),2)+POWER($F$30-($F$31+COS(RADIANS(K12+$D$30-$B12))*J12),2))</f>
        <v>0.9216906036266157</v>
      </c>
      <c r="K13" s="14">
        <f>MOD(DEGREES(ATAN2($F$30-($F$31+COS(RADIANS(K12+$D$30-$B12))*J12),$E$30-($E$31+SIN(RADIANS(K12+$D$30-$B12))*J12))),360)</f>
        <v>300.10629608781448</v>
      </c>
      <c r="L13" s="90">
        <f>SQRT(POWER($E$30-($E$31+SIN(RADIANS(M12+$D$30-$B12))*L12),2)+POWER($F$30-($F$31+COS(RADIANS(M12+$D$30-$B12))*L12),2))</f>
        <v>0.9392866447544802</v>
      </c>
      <c r="M13" s="91">
        <f>MOD(DEGREES(ATAN2($F$30-($F$31+COS(RADIANS(M12+$D$30-$B12))*L12),$E$30-($E$31+SIN(RADIANS(M12+$D$30-$B12))*L12))),360)</f>
        <v>301.10905849932578</v>
      </c>
      <c r="N13" s="17">
        <f>SQRT(POWER($E$30-($E$31+SIN(RADIANS(O12+$D$30-$B12))*N12),2)+POWER($F$30-($F$31+COS(RADIANS(O12+$D$30-$B12))*N12),2))</f>
        <v>0.95821114719829437</v>
      </c>
      <c r="O13" s="14">
        <f>MOD(DEGREES(ATAN2($F$30-($F$31+COS(RADIANS(O12+$D$30-$B12))*N12),$E$30-($E$31+SIN(RADIANS(O12+$D$30-$B12))*N12))),360)</f>
        <v>302.11665629539721</v>
      </c>
      <c r="P13" s="90">
        <f>SQRT(POWER($E$30-($E$31+SIN(RADIANS(Q12+$D$30-$B12))*P12),2)+POWER($F$30-($F$31+COS(RADIANS(Q12+$D$30-$B12))*P12),2))</f>
        <v>0.97858091319325247</v>
      </c>
      <c r="Q13" s="91">
        <f>MOD(DEGREES(ATAN2($F$30-($F$31+COS(RADIANS(Q12+$D$30-$B12))*P12),$E$30-($E$31+SIN(RADIANS(Q12+$D$30-$B12))*P12))),360)</f>
        <v>303.12894849486912</v>
      </c>
      <c r="R13" s="17">
        <f>SQRT(POWER($E$30-($E$31+SIN(RADIANS(S12+$D$30-$B12))*R12),2)+POWER($F$30-($F$31+COS(RADIANS(S12+$D$30-$B12))*R12),2))</f>
        <v>1.0005283652754344</v>
      </c>
      <c r="S13" s="18">
        <f>MOD(DEGREES(ATAN2($F$30-($F$31+COS(RADIANS(S12+$D$30-$B12))*R12),$E$30-($E$31+SIN(RADIANS(S12+$D$30-$B12))*R12))),360)</f>
        <v>304.14583297795787</v>
      </c>
      <c r="T13" s="15">
        <f>SQRT(POWER($E$30-($E$31+SIN(RADIANS(U12+$D$30-$B12))*T12),2)+POWER($F$30-($F$31+COS(RADIANS(U12+$D$30-$B12))*T12),2))</f>
        <v>1.0242042834528879</v>
      </c>
      <c r="U13" s="16">
        <f>MOD(DEGREES(ATAN2($F$30-($F$31+COS(RADIANS(U12+$D$30-$B12))*T12),$E$30-($E$31+SIN(RADIANS(U12+$D$30-$B12))*T12))),360)</f>
        <v>305.16724894818879</v>
      </c>
      <c r="V13" s="99">
        <f>SQRT(POWER($E$30-($E$31+SIN(RADIANS(W12+$D$30-$B12))*V12),2)+POWER($F$30-($F$31+COS(RADIANS(W12+$D$30-$B12))*V12),2))</f>
        <v>1.0497811294707042</v>
      </c>
      <c r="W13" s="100">
        <f>MOD(DEGREES(ATAN2($F$30-($F$31+COS(RADIANS(W12+$D$30-$B12))*V12),$E$30-($E$31+SIN(RADIANS(W12+$D$30-$B12))*V12))),360)</f>
        <v>306.19317927709693</v>
      </c>
      <c r="X13" s="90">
        <f>SQRT(POWER($E$30-($E$31+SIN(RADIANS(Y12+$D$30-$B12))*X12),2)+POWER($F$30-($F$31+COS(RADIANS(Y12+$D$30-$B12))*X12),2))</f>
        <v>1.077457110248456</v>
      </c>
      <c r="Y13" s="91">
        <f>MOD(DEGREES(ATAN2($F$30-($F$31+COS(RADIANS(Y12+$D$30-$B12))*X12),$E$30-($E$31+SIN(RADIANS(Y12+$D$30-$B12))*X12))),360)</f>
        <v>307.22365272757446</v>
      </c>
    </row>
    <row r="14" spans="1:27" ht="15" customHeight="1" thickTop="1" x14ac:dyDescent="0.25">
      <c r="A14" s="142"/>
      <c r="B14" s="153">
        <f>B12-2</f>
        <v>2</v>
      </c>
      <c r="C14" s="136">
        <f>MOD('New RPD &amp; RPB'!E$6-B14,360)</f>
        <v>286</v>
      </c>
      <c r="D14" s="10">
        <f>$B$31*$B$30/($B$30-D$4+$B14)</f>
        <v>0.58157894736842108</v>
      </c>
      <c r="E14" s="11">
        <f>IF('New RPD &amp; RPB'!$H$8&gt;0,90,270)+(D$4+$B14)/2*$V$31</f>
        <v>277.12191183778015</v>
      </c>
      <c r="F14" s="82">
        <f>$B$31*$B$30/($B$30-F$4+$B14)</f>
        <v>0.5972972972972973</v>
      </c>
      <c r="G14" s="92">
        <f>IF('New RPD &amp; RPB'!$H$8&gt;0,90,270)+(F$4+$B14)/2*$V$31</f>
        <v>275.93492653148348</v>
      </c>
      <c r="H14" s="10">
        <f>$B$31*$B$30/($B$30-H$4+$B14)</f>
        <v>0.61388888888888893</v>
      </c>
      <c r="I14" s="11">
        <f>IF('New RPD &amp; RPB'!$H$8&gt;0,90,270)+(H$4+$B14)/2*$V$31</f>
        <v>274.74794122518676</v>
      </c>
      <c r="J14" s="82">
        <f>$B$31*$B$30/($B$30-J$4+$B14)</f>
        <v>0.63142857142857145</v>
      </c>
      <c r="K14" s="92">
        <f>IF('New RPD &amp; RPB'!$H$8&gt;0,90,270)+(J$4+$B14)/2*$V$31</f>
        <v>273.5609559188901</v>
      </c>
      <c r="L14" s="10">
        <f>$B$31*$B$30/($B$30-L$4+$B14)</f>
        <v>0.65</v>
      </c>
      <c r="M14" s="11">
        <f>IF('New RPD &amp; RPB'!$H$8&gt;0,90,270)+(L$4+$B14)/2*$V$31</f>
        <v>272.37397061259338</v>
      </c>
      <c r="N14" s="82">
        <f>$B$31*$B$30/($B$30-N$4+$B14)</f>
        <v>0.66969696969696979</v>
      </c>
      <c r="O14" s="92">
        <f>IF('New RPD &amp; RPB'!$H$8&gt;0,90,270)+(N$4+$B14)/2*$V$31</f>
        <v>271.18698530629672</v>
      </c>
      <c r="P14" s="10">
        <f>$B$31*$B$30/($B$30-P$4+$B14)</f>
        <v>0.69062500000000004</v>
      </c>
      <c r="Q14" s="11">
        <f>IF('New RPD &amp; RPB'!$H$8&gt;0,90,270)+(P$4+$B14)/2*$V$31</f>
        <v>270</v>
      </c>
      <c r="R14" s="82">
        <f>$B$31*$B$30/($B$30-R$4+$B14)</f>
        <v>0.71290322580645171</v>
      </c>
      <c r="S14" s="81">
        <f>IF('New RPD &amp; RPB'!$H$8&gt;0,90,270)+(R$4+$B14)/2*$V$31</f>
        <v>268.81301469370328</v>
      </c>
      <c r="T14" s="82">
        <f>$B$31*$B$30/($B$30-T$4+$B14)</f>
        <v>0.73666666666666669</v>
      </c>
      <c r="U14" s="83">
        <f>IF('New RPD &amp; RPB'!$H$8&gt;0,90,270)+(T$4+$B14)/2*$V$31</f>
        <v>267.62602938740662</v>
      </c>
      <c r="V14" s="10">
        <f>$B$31*$B$30/($B$30-V$4+$B14)</f>
        <v>0.76206896551724146</v>
      </c>
      <c r="W14" s="95">
        <f>IF('New RPD &amp; RPB'!$H$8&gt;0,90,270)+(V$4+$B14)/2*$V$31</f>
        <v>266.4390440811099</v>
      </c>
      <c r="X14" s="10">
        <f>$B$31*$B$30/($B$30-X$4+$B14)</f>
        <v>0.78928571428571437</v>
      </c>
      <c r="Y14" s="11">
        <f>IF('New RPD &amp; RPB'!$H$8&gt;0,90,270)+(X$4+$B14)/2*$V$31</f>
        <v>265.25205877481324</v>
      </c>
    </row>
    <row r="15" spans="1:27" ht="15.75" customHeight="1" thickBot="1" x14ac:dyDescent="0.3">
      <c r="A15" s="142"/>
      <c r="B15" s="149"/>
      <c r="C15" s="137"/>
      <c r="D15" s="12">
        <f>SQRT(POWER($E$30-($E$31+SIN(RADIANS(E14+$D$30-$B14))*D14),2)+POWER($F$30-($F$31+COS(RADIANS(E14+$D$30-$B14))*D14),2))</f>
        <v>0.8664761196306594</v>
      </c>
      <c r="E15" s="13">
        <f>MOD(DEGREES(ATAN2($F$30-($F$31+COS(RADIANS(E14+$D$30-$B14))*D14),$E$30-($E$31+SIN(RADIANS(E14+$D$30-$B14))*D14))),360)</f>
        <v>296.13520195779506</v>
      </c>
      <c r="F15" s="87">
        <f>SQRT(POWER($E$30-($E$31+SIN(RADIANS(G14+$D$30-$B14))*F14),2)+POWER($F$30-($F$31+COS(RADIANS(G14+$D$30-$B14))*F14),2))</f>
        <v>0.87977824606387378</v>
      </c>
      <c r="G15" s="93">
        <f>MOD(DEGREES(ATAN2($F$30-($F$31+COS(RADIANS(G14+$D$30-$B14))*F14),$E$30-($E$31+SIN(RADIANS(G14+$D$30-$B14))*F14))),360)</f>
        <v>297.10679963660021</v>
      </c>
      <c r="H15" s="12">
        <f>SQRT(POWER($E$30-($E$31+SIN(RADIANS(I14+$D$30-$B14))*H14),2)+POWER($F$30-($F$31+COS(RADIANS(I14+$D$30-$B14))*H14),2))</f>
        <v>0.89405713970793821</v>
      </c>
      <c r="I15" s="13">
        <f>MOD(DEGREES(ATAN2($F$30-($F$31+COS(RADIANS(I14+$D$30-$B14))*H14),$E$30-($E$31+SIN(RADIANS(I14+$D$30-$B14))*H14))),360)</f>
        <v>298.08392110448261</v>
      </c>
      <c r="J15" s="87">
        <f>SQRT(POWER($E$30-($E$31+SIN(RADIANS(K14+$D$30-$B14))*J14),2)+POWER($F$30-($F$31+COS(RADIANS(K14+$D$30-$B14))*J14),2))</f>
        <v>0.90938628138987709</v>
      </c>
      <c r="K15" s="93">
        <f>MOD(DEGREES(ATAN2($F$30-($F$31+COS(RADIANS(K14+$D$30-$B14))*J14),$E$30-($E$31+SIN(RADIANS(K14+$D$30-$B14))*J14))),360)</f>
        <v>299.06631252672901</v>
      </c>
      <c r="L15" s="12">
        <f>SQRT(POWER($E$30-($E$31+SIN(RADIANS(M14+$D$30-$B14))*L14),2)+POWER($F$30-($F$31+COS(RADIANS(M14+$D$30-$B14))*L14),2))</f>
        <v>0.92584770632160696</v>
      </c>
      <c r="M15" s="13">
        <f>MOD(DEGREES(ATAN2($F$30-($F$31+COS(RADIANS(M14+$D$30-$B14))*L14),$E$30-($E$31+SIN(RADIANS(M14+$D$30-$B14))*L14))),360)</f>
        <v>300.05374863500128</v>
      </c>
      <c r="N15" s="87">
        <f>SQRT(POWER($E$30-($E$31+SIN(RADIANS(O14+$D$30-$B14))*N14),2)+POWER($F$30-($F$31+COS(RADIANS(O14+$D$30-$B14))*N14),2))</f>
        <v>0.94353333539903828</v>
      </c>
      <c r="O15" s="93">
        <f>MOD(DEGREES(ATAN2($F$30-($F$31+COS(RADIANS(O14+$D$30-$B14))*N14),$E$30-($E$31+SIN(RADIANS(O14+$D$30-$B14))*N14))),360)</f>
        <v>301.04603549543367</v>
      </c>
      <c r="P15" s="12">
        <f>SQRT(POWER($E$30-($E$31+SIN(RADIANS(Q14+$D$30-$B14))*P14),2)+POWER($F$30-($F$31+COS(RADIANS(Q14+$D$30-$B14))*P14),2))</f>
        <v>0.96254655708671821</v>
      </c>
      <c r="Q15" s="13">
        <f>MOD(DEGREES(ATAN2($F$30-($F$31+COS(RADIANS(Q14+$D$30-$B14))*P14),$E$30-($E$31+SIN(RADIANS(Q14+$D$30-$B14))*P14))),360)</f>
        <v>302.04301319838532</v>
      </c>
      <c r="R15" s="87">
        <f>SQRT(POWER($E$30-($E$31+SIN(RADIANS(S14+$D$30-$B14))*R14),2)+POWER($F$30-($F$31+COS(RADIANS(S14+$D$30-$B14))*R14),2))</f>
        <v>0.98300411632428775</v>
      </c>
      <c r="S15" s="84">
        <f>MOD(DEGREES(ATAN2($F$30-($F$31+COS(RADIANS(S14+$D$30-$B14))*R14),$E$30-($E$31+SIN(RADIANS(S14+$D$30-$B14))*R14))),360)</f>
        <v>303.04455845907279</v>
      </c>
      <c r="T15" s="85">
        <f>SQRT(POWER($E$30-($E$31+SIN(RADIANS(U14+$D$30-$B14))*T14),2)+POWER($F$30-($F$31+COS(RADIANS(U14+$D$30-$B14))*T14),2))</f>
        <v>1.0050383819479416</v>
      </c>
      <c r="U15" s="86">
        <f>MOD(DEGREES(ATAN2($F$30-($F$31+COS(RADIANS(U14+$D$30-$B14))*T14),$E$30-($E$31+SIN(RADIANS(U14+$D$30-$B14))*T14))),360)</f>
        <v>304.0505871203041</v>
      </c>
      <c r="V15" s="96">
        <f>SQRT(POWER($E$30-($E$31+SIN(RADIANS(W14+$D$30-$B14))*V14),2)+POWER($F$30-($F$31+COS(RADIANS(W14+$D$30-$B14))*V14),2))</f>
        <v>1.0288000838527862</v>
      </c>
      <c r="W15" s="97">
        <f>MOD(DEGREES(ATAN2($F$30-($F$31+COS(RADIANS(W14+$D$30-$B14))*V14),$E$30-($E$31+SIN(RADIANS(W14+$D$30-$B14))*V14))),360)</f>
        <v>305.06105655056365</v>
      </c>
      <c r="X15" s="12">
        <f>SQRT(POWER($E$30-($E$31+SIN(RADIANS(Y14+$D$30-$B14))*X14),2)+POWER($F$30-($F$31+COS(RADIANS(Y14+$D$30-$B14))*X14),2))</f>
        <v>1.0544616372001914</v>
      </c>
      <c r="Y15" s="13">
        <f>MOD(DEGREES(ATAN2($F$30-($F$31+COS(RADIANS(Y14+$D$30-$B14))*X14),$E$30-($E$31+SIN(RADIANS(Y14+$D$30-$B14))*X14))),360)</f>
        <v>306.07596793269039</v>
      </c>
    </row>
    <row r="16" spans="1:27" ht="15.75" customHeight="1" thickTop="1" x14ac:dyDescent="0.25">
      <c r="A16" s="142"/>
      <c r="B16" s="153">
        <f>B14-2</f>
        <v>0</v>
      </c>
      <c r="C16" s="136">
        <f>MOD('New RPD &amp; RPB'!E$6-B16,360)</f>
        <v>288</v>
      </c>
      <c r="D16" s="88">
        <f>$B$31*$B$30/($B$30-D$4+$B16)</f>
        <v>0.56666666666666665</v>
      </c>
      <c r="E16" s="89">
        <f>IF('New RPD &amp; RPB'!$H$8&gt;0,90,270)+(D$4+$B16)/2*$V$31</f>
        <v>275.93492653148348</v>
      </c>
      <c r="F16" s="79">
        <f>$B$31*$B$30/($B$30-F$4+$B16)</f>
        <v>0.58157894736842108</v>
      </c>
      <c r="G16" s="94">
        <f>IF('New RPD &amp; RPB'!$H$8&gt;0,90,270)+(F$4+$B16)/2*$V$31</f>
        <v>274.74794122518676</v>
      </c>
      <c r="H16" s="88">
        <f>$B$31*$B$30/($B$30-H$4+$B16)</f>
        <v>0.5972972972972973</v>
      </c>
      <c r="I16" s="89">
        <f>IF('New RPD &amp; RPB'!$H$8&gt;0,90,270)+(H$4+$B16)/2*$V$31</f>
        <v>273.5609559188901</v>
      </c>
      <c r="J16" s="79">
        <f>$B$31*$B$30/($B$30-J$4+$B16)</f>
        <v>0.61388888888888893</v>
      </c>
      <c r="K16" s="94">
        <f>IF('New RPD &amp; RPB'!$H$8&gt;0,90,270)+(J$4+$B16)/2*$V$31</f>
        <v>272.37397061259338</v>
      </c>
      <c r="L16" s="88">
        <f>$B$31*$B$30/($B$30-L$4+$B16)</f>
        <v>0.63142857142857145</v>
      </c>
      <c r="M16" s="89">
        <f>IF('New RPD &amp; RPB'!$H$8&gt;0,90,270)+(L$4+$B16)/2*$V$31</f>
        <v>271.18698530629672</v>
      </c>
      <c r="N16" s="79">
        <f>$B$31*$B$30/($B$30-N$4+$B16)</f>
        <v>0.65</v>
      </c>
      <c r="O16" s="94">
        <f>IF('New RPD &amp; RPB'!$H$8&gt;0,90,270)+(N$4+$B16)/2*$V$31</f>
        <v>270</v>
      </c>
      <c r="P16" s="88">
        <f>$B$31*$B$30/($B$30-P$4+$B16)</f>
        <v>0.66969696969696979</v>
      </c>
      <c r="Q16" s="89">
        <f>IF('New RPD &amp; RPB'!$H$8&gt;0,90,270)+(P$4+$B16)/2*$V$31</f>
        <v>268.81301469370328</v>
      </c>
      <c r="R16" s="79">
        <f>$B$31*$B$30/($B$30-R$4+$B16)</f>
        <v>0.69062500000000004</v>
      </c>
      <c r="S16" s="78">
        <f>IF('New RPD &amp; RPB'!$H$8&gt;0,90,270)+(R$4+$B16)/2*$V$31</f>
        <v>267.62602938740662</v>
      </c>
      <c r="T16" s="79">
        <f>$B$31*$B$30/($B$30-T$4+$B16)</f>
        <v>0.71290322580645171</v>
      </c>
      <c r="U16" s="80">
        <f>IF('New RPD &amp; RPB'!$H$8&gt;0,90,270)+(T$4+$B16)/2*$V$31</f>
        <v>266.4390440811099</v>
      </c>
      <c r="V16" s="88">
        <f>$B$31*$B$30/($B$30-V$4+$B16)</f>
        <v>0.73666666666666669</v>
      </c>
      <c r="W16" s="98">
        <f>IF('New RPD &amp; RPB'!$H$8&gt;0,90,270)+(V$4+$B16)/2*$V$31</f>
        <v>265.25205877481324</v>
      </c>
      <c r="X16" s="88">
        <f>$B$31*$B$30/($B$30-X$4+$B16)</f>
        <v>0.76206896551724146</v>
      </c>
      <c r="Y16" s="89">
        <f>IF('New RPD &amp; RPB'!$H$8&gt;0,90,270)+(X$4+$B16)/2*$V$31</f>
        <v>264.06507346851652</v>
      </c>
    </row>
    <row r="17" spans="1:25" ht="15.75" customHeight="1" thickBot="1" x14ac:dyDescent="0.3">
      <c r="A17" s="142"/>
      <c r="B17" s="149"/>
      <c r="C17" s="137"/>
      <c r="D17" s="90">
        <f>SQRT(POWER($E$30-($E$31+SIN(RADIANS(E16+$D$30-$B16))*D16),2)+POWER($F$30-($F$31+COS(RADIANS(E16+$D$30-$B16))*D16),2))</f>
        <v>0.85778273020952367</v>
      </c>
      <c r="E17" s="91">
        <f>MOD(DEGREES(ATAN2($F$30-($F$31+COS(RADIANS(E16+$D$30-$B16))*D16),$E$30-($E$31+SIN(RADIANS(E16+$D$30-$B16))*D16))),360)</f>
        <v>295.16489123395309</v>
      </c>
      <c r="F17" s="17">
        <f>SQRT(POWER($E$30-($E$31+SIN(RADIANS(G16+$D$30-$B16))*F16),2)+POWER($F$30-($F$31+COS(RADIANS(G16+$D$30-$B16))*F16),2))</f>
        <v>0.87026619540906758</v>
      </c>
      <c r="G17" s="14">
        <f>MOD(DEGREES(ATAN2($F$30-($F$31+COS(RADIANS(G16+$D$30-$B16))*F16),$E$30-($E$31+SIN(RADIANS(G16+$D$30-$B16))*F16))),360)</f>
        <v>296.12125009640738</v>
      </c>
      <c r="H17" s="90">
        <f>SQRT(POWER($E$30-($E$31+SIN(RADIANS(I16+$D$30-$B16))*H16),2)+POWER($F$30-($F$31+COS(RADIANS(I16+$D$30-$B16))*H16),2))</f>
        <v>0.88365984514347873</v>
      </c>
      <c r="I17" s="91">
        <f>MOD(DEGREES(ATAN2($F$30-($F$31+COS(RADIANS(I16+$D$30-$B16))*H16),$E$30-($E$31+SIN(RADIANS(I16+$D$30-$B16))*H16))),360)</f>
        <v>297.08319167858394</v>
      </c>
      <c r="J17" s="17">
        <f>SQRT(POWER($E$30-($E$31+SIN(RADIANS(K16+$D$30-$B16))*J16),2)+POWER($F$30-($F$31+COS(RADIANS(K16+$D$30-$B16))*J16),2))</f>
        <v>0.89802966078578661</v>
      </c>
      <c r="K17" s="14">
        <f>MOD(DEGREES(ATAN2($F$30-($F$31+COS(RADIANS(K16+$D$30-$B16))*J16),$E$30-($E$31+SIN(RADIANS(K16+$D$30-$B16))*J16))),360)</f>
        <v>298.05045126242237</v>
      </c>
      <c r="L17" s="90">
        <f>SQRT(POWER($E$30-($E$31+SIN(RADIANS(M16+$D$30-$B16))*L16),2)+POWER($F$30-($F$31+COS(RADIANS(M16+$D$30-$B16))*L16),2))</f>
        <v>0.9134490554983915</v>
      </c>
      <c r="M17" s="91">
        <f>MOD(DEGREES(ATAN2($F$30-($F$31+COS(RADIANS(M16+$D$30-$B16))*L16),$E$30-($E$31+SIN(RADIANS(M16+$D$30-$B16))*L16))),360)</f>
        <v>299.02279046619952</v>
      </c>
      <c r="N17" s="17">
        <f>SQRT(POWER($E$30-($E$31+SIN(RADIANS(O16+$D$30-$B16))*N16),2)+POWER($F$30-($F$31+COS(RADIANS(O16+$D$30-$B16))*N16),2))</f>
        <v>0.93000000000000016</v>
      </c>
      <c r="O17" s="14">
        <f>MOD(DEGREES(ATAN2($F$30-($F$31+COS(RADIANS(O16+$D$30-$B16))*N16),$E$30-($E$31+SIN(RADIANS(O16+$D$30-$B16))*N16))),360)</f>
        <v>300</v>
      </c>
      <c r="P17" s="90">
        <f>SQRT(POWER($E$30-($E$31+SIN(RADIANS(Q16+$D$30-$B16))*P16),2)+POWER($F$30-($F$31+COS(RADIANS(Q16+$D$30-$B16))*P16),2))</f>
        <v>0.94777435402240595</v>
      </c>
      <c r="Q17" s="91">
        <f>MOD(DEGREES(ATAN2($F$30-($F$31+COS(RADIANS(Q16+$D$30-$B16))*P16),$E$30-($E$31+SIN(RADIANS(Q16+$D$30-$B16))*P16))),360)</f>
        <v>300.98190235641476</v>
      </c>
      <c r="R17" s="17">
        <f>SQRT(POWER($E$30-($E$31+SIN(RADIANS(S16+$D$30-$B16))*R16),2)+POWER($F$30-($F$31+COS(RADIANS(S16+$D$30-$B16))*R16),2))</f>
        <v>0.96687544831109873</v>
      </c>
      <c r="S17" s="18">
        <f>MOD(DEGREES(ATAN2($F$30-($F$31+COS(RADIANS(S16+$D$30-$B16))*R16),$E$30-($E$31+SIN(RADIANS(S16+$D$30-$B16))*R16))),360)</f>
        <v>301.96835442526384</v>
      </c>
      <c r="T17" s="15">
        <f>SQRT(POWER($E$30-($E$31+SIN(RADIANS(U16+$D$30-$B16))*T16),2)+POWER($F$30-($F$31+COS(RADIANS(U16+$D$30-$B16))*T16),2))</f>
        <v>0.98741997360401768</v>
      </c>
      <c r="U17" s="16">
        <f>MOD(DEGREES(ATAN2($F$30-($F$31+COS(RADIANS(U16+$D$30-$B16))*T16),$E$30-($E$31+SIN(RADIANS(U16+$D$30-$B16))*T16))),360)</f>
        <v>302.95925002302698</v>
      </c>
      <c r="V17" s="99">
        <f>SQRT(POWER($E$30-($E$31+SIN(RADIANS(W16+$D$30-$B16))*V16),2)+POWER($F$30-($F$31+COS(RADIANS(W16+$D$30-$B16))*V16),2))</f>
        <v>1.0095402480800617</v>
      </c>
      <c r="W17" s="100">
        <f>MOD(DEGREES(ATAN2($F$30-($F$31+COS(RADIANS(W16+$D$30-$B16))*V16),$E$30-($E$31+SIN(RADIANS(W16+$D$30-$B16))*V16))),360)</f>
        <v>303.95452232961782</v>
      </c>
      <c r="X17" s="90">
        <f>SQRT(POWER($E$30-($E$31+SIN(RADIANS(Y16+$D$30-$B16))*X16),2)+POWER($F$30-($F$31+COS(RADIANS(Y16+$D$30-$B16))*X16),2))</f>
        <v>1.0333869545020629</v>
      </c>
      <c r="Y17" s="91">
        <f>MOD(DEGREES(ATAN2($F$30-($F$31+COS(RADIANS(Y16+$D$30-$B16))*X16),$E$30-($E$31+SIN(RADIANS(Y16+$D$30-$B16))*X16))),360)</f>
        <v>304.95414622710689</v>
      </c>
    </row>
    <row r="18" spans="1:25" ht="15.75" customHeight="1" thickTop="1" x14ac:dyDescent="0.25">
      <c r="A18" s="142"/>
      <c r="B18" s="153">
        <f>B16-2</f>
        <v>-2</v>
      </c>
      <c r="C18" s="136">
        <f>MOD('New RPD &amp; RPB'!E$6-B18,360)</f>
        <v>290</v>
      </c>
      <c r="D18" s="10">
        <f>$B$31*$B$30/($B$30-D$4+$B18)</f>
        <v>0.55249999999999999</v>
      </c>
      <c r="E18" s="11">
        <f>IF('New RPD &amp; RPB'!$H$8&gt;0,90,270)+(D$4+$B18)/2*$V$31</f>
        <v>274.74794122518676</v>
      </c>
      <c r="F18" s="82">
        <f>$B$31*$B$30/($B$30-F$4+$B18)</f>
        <v>0.56666666666666665</v>
      </c>
      <c r="G18" s="92">
        <f>IF('New RPD &amp; RPB'!$H$8&gt;0,90,270)+(F$4+$B18)/2*$V$31</f>
        <v>273.5609559188901</v>
      </c>
      <c r="H18" s="10">
        <f>$B$31*$B$30/($B$30-H$4+$B18)</f>
        <v>0.58157894736842108</v>
      </c>
      <c r="I18" s="11">
        <f>IF('New RPD &amp; RPB'!$H$8&gt;0,90,270)+(H$4+$B18)/2*$V$31</f>
        <v>272.37397061259338</v>
      </c>
      <c r="J18" s="82">
        <f>$B$31*$B$30/($B$30-J$4+$B18)</f>
        <v>0.5972972972972973</v>
      </c>
      <c r="K18" s="92">
        <f>IF('New RPD &amp; RPB'!$H$8&gt;0,90,270)+(J$4+$B18)/2*$V$31</f>
        <v>271.18698530629672</v>
      </c>
      <c r="L18" s="10">
        <f>$B$31*$B$30/($B$30-L$4+$B18)</f>
        <v>0.61388888888888893</v>
      </c>
      <c r="M18" s="11">
        <f>IF('New RPD &amp; RPB'!$H$8&gt;0,90,270)+(L$4+$B18)/2*$V$31</f>
        <v>270</v>
      </c>
      <c r="N18" s="82">
        <f>$B$31*$B$30/($B$30-N$4+$B18)</f>
        <v>0.63142857142857145</v>
      </c>
      <c r="O18" s="92">
        <f>IF('New RPD &amp; RPB'!$H$8&gt;0,90,270)+(N$4+$B18)/2*$V$31</f>
        <v>268.81301469370328</v>
      </c>
      <c r="P18" s="10">
        <f>$B$31*$B$30/($B$30-P$4+$B18)</f>
        <v>0.65</v>
      </c>
      <c r="Q18" s="11">
        <f>IF('New RPD &amp; RPB'!$H$8&gt;0,90,270)+(P$4+$B18)/2*$V$31</f>
        <v>267.62602938740662</v>
      </c>
      <c r="R18" s="82">
        <f>$B$31*$B$30/($B$30-R$4+$B18)</f>
        <v>0.66969696969696979</v>
      </c>
      <c r="S18" s="81">
        <f>IF('New RPD &amp; RPB'!$H$8&gt;0,90,270)+(R$4+$B18)/2*$V$31</f>
        <v>266.4390440811099</v>
      </c>
      <c r="T18" s="82">
        <f>$B$31*$B$30/($B$30-T$4+$B18)</f>
        <v>0.69062500000000004</v>
      </c>
      <c r="U18" s="83">
        <f>IF('New RPD &amp; RPB'!$H$8&gt;0,90,270)+(T$4+$B18)/2*$V$31</f>
        <v>265.25205877481324</v>
      </c>
      <c r="V18" s="10">
        <f>$B$31*$B$30/($B$30-V$4+$B18)</f>
        <v>0.71290322580645171</v>
      </c>
      <c r="W18" s="95">
        <f>IF('New RPD &amp; RPB'!$H$8&gt;0,90,270)+(V$4+$B18)/2*$V$31</f>
        <v>264.06507346851652</v>
      </c>
      <c r="X18" s="10">
        <f>$B$31*$B$30/($B$30-X$4+$B18)</f>
        <v>0.73666666666666669</v>
      </c>
      <c r="Y18" s="11">
        <f>IF('New RPD &amp; RPB'!$H$8&gt;0,90,270)+(X$4+$B18)/2*$V$31</f>
        <v>262.87808816221985</v>
      </c>
    </row>
    <row r="19" spans="1:25" ht="15" customHeight="1" thickBot="1" x14ac:dyDescent="0.3">
      <c r="A19" s="142"/>
      <c r="B19" s="149"/>
      <c r="C19" s="137"/>
      <c r="D19" s="12">
        <f>SQRT(POWER($E$30-($E$31+SIN(RADIANS(E18+$D$30-$B18))*D18),2)+POWER($F$30-($F$31+COS(RADIANS(E18+$D$30-$B18))*D18),2))</f>
        <v>0.84975583138808464</v>
      </c>
      <c r="E19" s="13">
        <f>MOD(DEGREES(ATAN2($F$30-($F$31+COS(RADIANS(E18+$D$30-$B18))*D18),$E$30-($E$31+SIN(RADIANS(E18+$D$30-$B18))*D18))),360)</f>
        <v>294.2174609950099</v>
      </c>
      <c r="F19" s="87">
        <f>SQRT(POWER($E$30-($E$31+SIN(RADIANS(G18+$D$30-$B18))*F18),2)+POWER($F$30-($F$31+COS(RADIANS(G18+$D$30-$B18))*F18),2))</f>
        <v>0.86148024133712642</v>
      </c>
      <c r="G19" s="93">
        <f>MOD(DEGREES(ATAN2($F$30-($F$31+COS(RADIANS(G18+$D$30-$B18))*F18),$E$30-($E$31+SIN(RADIANS(G18+$D$30-$B18))*F18))),360)</f>
        <v>295.15880838997055</v>
      </c>
      <c r="H19" s="12">
        <f>SQRT(POWER($E$30-($E$31+SIN(RADIANS(I18+$D$30-$B18))*H18),2)+POWER($F$30-($F$31+COS(RADIANS(I18+$D$30-$B18))*H18),2))</f>
        <v>0.87405487079108379</v>
      </c>
      <c r="I19" s="13">
        <f>MOD(DEGREES(ATAN2($F$30-($F$31+COS(RADIANS(I18+$D$30-$B18))*H18),$E$30-($E$31+SIN(RADIANS(I18+$D$30-$B18))*H18))),360)</f>
        <v>296.10579789287834</v>
      </c>
      <c r="J19" s="87">
        <f>SQRT(POWER($E$30-($E$31+SIN(RADIANS(K18+$D$30-$B18))*J18),2)+POWER($F$30-($F$31+COS(RADIANS(K18+$D$30-$B18))*J18),2))</f>
        <v>0.88753915492382573</v>
      </c>
      <c r="K19" s="93">
        <f>MOD(DEGREES(ATAN2($F$30-($F$31+COS(RADIANS(K18+$D$30-$B18))*J18),$E$30-($E$31+SIN(RADIANS(K18+$D$30-$B18))*J18))),360)</f>
        <v>297.0581550961578</v>
      </c>
      <c r="L19" s="12">
        <f>SQRT(POWER($E$30-($E$31+SIN(RADIANS(M18+$D$30-$B18))*L18),2)+POWER($F$30-($F$31+COS(RADIANS(M18+$D$30-$B18))*L18),2))</f>
        <v>0.90199900751686179</v>
      </c>
      <c r="M19" s="13">
        <f>MOD(DEGREES(ATAN2($F$30-($F$31+COS(RADIANS(M18+$D$30-$B18))*L18),$E$30-($E$31+SIN(RADIANS(M18+$D$30-$B18))*L18))),360)</f>
        <v>298.01562975323998</v>
      </c>
      <c r="N19" s="87">
        <f>SQRT(POWER($E$30-($E$31+SIN(RADIANS(O18+$D$30-$B18))*N18),2)+POWER($F$30-($F$31+COS(RADIANS(O18+$D$30-$B18))*N18),2))</f>
        <v>0.91750777713481535</v>
      </c>
      <c r="O19" s="93">
        <f>MOD(DEGREES(ATAN2($F$30-($F$31+COS(RADIANS(O18+$D$30-$B18))*N18),$E$30-($E$31+SIN(RADIANS(O18+$D$30-$B18))*N18))),360)</f>
        <v>298.97799851066549</v>
      </c>
      <c r="P19" s="12">
        <f>SQRT(POWER($E$30-($E$31+SIN(RADIANS(Q18+$D$30-$B18))*P18),2)+POWER($F$30-($F$31+COS(RADIANS(Q18+$D$30-$B18))*P18),2))</f>
        <v>0.93414737307342521</v>
      </c>
      <c r="Q19" s="13">
        <f>MOD(DEGREES(ATAN2($F$30-($F$31+COS(RADIANS(Q18+$D$30-$B18))*P18),$E$30-($E$31+SIN(RADIANS(Q18+$D$30-$B18))*P18))),360)</f>
        <v>299.94506758825264</v>
      </c>
      <c r="R19" s="87">
        <f>SQRT(POWER($E$30-($E$31+SIN(RADIANS(S18+$D$30-$B18))*R18),2)+POWER($F$30-($F$31+COS(RADIANS(S18+$D$30-$B18))*R18),2))</f>
        <v>0.95200959695896537</v>
      </c>
      <c r="S19" s="84">
        <f>MOD(DEGREES(ATAN2($F$30-($F$31+COS(RADIANS(S18+$D$30-$B18))*R18),$E$30-($E$31+SIN(RADIANS(S18+$D$30-$B18))*R18))),360)</f>
        <v>300.91667539577787</v>
      </c>
      <c r="T19" s="85">
        <f>SQRT(POWER($E$30-($E$31+SIN(RADIANS(U18+$D$30-$B18))*T18),2)+POWER($F$30-($F$31+COS(RADIANS(U18+$D$30-$B18))*T18),2))</f>
        <v>0.97119772485089961</v>
      </c>
      <c r="U19" s="86">
        <f>MOD(DEGREES(ATAN2($F$30-($F$31+COS(RADIANS(U18+$D$30-$B18))*T18),$E$30-($E$31+SIN(RADIANS(U18+$D$30-$B18))*T18))),360)</f>
        <v>301.89269507637249</v>
      </c>
      <c r="V19" s="96">
        <f>SQRT(POWER($E$30-($E$31+SIN(RADIANS(W18+$D$30-$B18))*V18),2)+POWER($F$30-($F$31+COS(RADIANS(W18+$D$30-$B18))*V18),2))</f>
        <v>0.99182839628029973</v>
      </c>
      <c r="W19" s="97">
        <f>MOD(DEGREES(ATAN2($F$30-($F$31+COS(RADIANS(W18+$D$30-$B18))*V18),$E$30-($E$31+SIN(RADIANS(W18+$D$30-$B18))*V18))),360)</f>
        <v>302.87303696870168</v>
      </c>
      <c r="X19" s="12">
        <f>SQRT(POWER($E$30-($E$31+SIN(RADIANS(Y18+$D$30-$B18))*X18),2)+POWER($F$30-($F$31+COS(RADIANS(Y18+$D$30-$B18))*X18),2))</f>
        <v>1.0140338817142196</v>
      </c>
      <c r="Y19" s="13">
        <f>MOD(DEGREES(ATAN2($F$30-($F$31+COS(RADIANS(Y18+$D$30-$B18))*X18),$E$30-($E$31+SIN(RADIANS(Y18+$D$30-$B18))*X18))),360)</f>
        <v>303.85765098190319</v>
      </c>
    </row>
    <row r="20" spans="1:25" ht="15" customHeight="1" thickTop="1" x14ac:dyDescent="0.25">
      <c r="A20" s="142"/>
      <c r="B20" s="153">
        <f>B18-2</f>
        <v>-4</v>
      </c>
      <c r="C20" s="136">
        <f>MOD('New RPD &amp; RPB'!E$6-B20,360)</f>
        <v>292</v>
      </c>
      <c r="D20" s="88">
        <f>$B$31*$B$30/($B$30-D$4+$B20)</f>
        <v>0.53902439024390247</v>
      </c>
      <c r="E20" s="89">
        <f>IF('New RPD &amp; RPB'!$H$8&gt;0,90,270)+(D$4+$B20)/2*$V$31</f>
        <v>273.5609559188901</v>
      </c>
      <c r="F20" s="79">
        <f>$B$31*$B$30/($B$30-F$4+$B20)</f>
        <v>0.55249999999999999</v>
      </c>
      <c r="G20" s="94">
        <f>IF('New RPD &amp; RPB'!$H$8&gt;0,90,270)+(F$4+$B20)/2*$V$31</f>
        <v>272.37397061259338</v>
      </c>
      <c r="H20" s="88">
        <f>$B$31*$B$30/($B$30-H$4+$B20)</f>
        <v>0.56666666666666665</v>
      </c>
      <c r="I20" s="89">
        <f>IF('New RPD &amp; RPB'!$H$8&gt;0,90,270)+(H$4+$B20)/2*$V$31</f>
        <v>271.18698530629672</v>
      </c>
      <c r="J20" s="79">
        <f>$B$31*$B$30/($B$30-J$4+$B20)</f>
        <v>0.58157894736842108</v>
      </c>
      <c r="K20" s="94">
        <f>IF('New RPD &amp; RPB'!$H$8&gt;0,90,270)+(J$4+$B20)/2*$V$31</f>
        <v>270</v>
      </c>
      <c r="L20" s="88">
        <f>$B$31*$B$30/($B$30-L$4+$B20)</f>
        <v>0.5972972972972973</v>
      </c>
      <c r="M20" s="89">
        <f>IF('New RPD &amp; RPB'!$H$8&gt;0,90,270)+(L$4+$B20)/2*$V$31</f>
        <v>268.81301469370328</v>
      </c>
      <c r="N20" s="79">
        <f>$B$31*$B$30/($B$30-N$4+$B20)</f>
        <v>0.61388888888888893</v>
      </c>
      <c r="O20" s="94">
        <f>IF('New RPD &amp; RPB'!$H$8&gt;0,90,270)+(N$4+$B20)/2*$V$31</f>
        <v>267.62602938740662</v>
      </c>
      <c r="P20" s="88">
        <f>$B$31*$B$30/($B$30-P$4+$B20)</f>
        <v>0.63142857142857145</v>
      </c>
      <c r="Q20" s="89">
        <f>IF('New RPD &amp; RPB'!$H$8&gt;0,90,270)+(P$4+$B20)/2*$V$31</f>
        <v>266.4390440811099</v>
      </c>
      <c r="R20" s="79">
        <f>$B$31*$B$30/($B$30-R$4+$B20)</f>
        <v>0.65</v>
      </c>
      <c r="S20" s="78">
        <f>IF('New RPD &amp; RPB'!$H$8&gt;0,90,270)+(R$4+$B20)/2*$V$31</f>
        <v>265.25205877481324</v>
      </c>
      <c r="T20" s="79">
        <f>$B$31*$B$30/($B$30-T$4+$B20)</f>
        <v>0.66969696969696979</v>
      </c>
      <c r="U20" s="80">
        <f>IF('New RPD &amp; RPB'!$H$8&gt;0,90,270)+(T$4+$B20)/2*$V$31</f>
        <v>264.06507346851652</v>
      </c>
      <c r="V20" s="88">
        <f>$B$31*$B$30/($B$30-V$4+$B20)</f>
        <v>0.69062500000000004</v>
      </c>
      <c r="W20" s="98">
        <f>IF('New RPD &amp; RPB'!$H$8&gt;0,90,270)+(V$4+$B20)/2*$V$31</f>
        <v>262.87808816221985</v>
      </c>
      <c r="X20" s="88">
        <f>$B$31*$B$30/($B$30-X$4+$B20)</f>
        <v>0.71290322580645171</v>
      </c>
      <c r="Y20" s="89">
        <f>IF('New RPD &amp; RPB'!$H$8&gt;0,90,270)+(X$4+$B20)/2*$V$31</f>
        <v>261.69110285592313</v>
      </c>
    </row>
    <row r="21" spans="1:25" ht="15" customHeight="1" thickBot="1" x14ac:dyDescent="0.3">
      <c r="A21" s="142"/>
      <c r="B21" s="149"/>
      <c r="C21" s="137"/>
      <c r="D21" s="90">
        <f>SQRT(POWER($E$30-($E$31+SIN(RADIANS(E20+$D$30-$B20))*D20),2)+POWER($F$30-($F$31+COS(RADIANS(E20+$D$30-$B20))*D20),2))</f>
        <v>0.84234284079410338</v>
      </c>
      <c r="E21" s="91">
        <f>MOD(DEGREES(ATAN2($F$30-($F$31+COS(RADIANS(E20+$D$30-$B20))*D20),$E$30-($E$31+SIN(RADIANS(E20+$D$30-$B20))*D20))),360)</f>
        <v>293.29234761568051</v>
      </c>
      <c r="F21" s="17">
        <f>SQRT(POWER($E$30-($E$31+SIN(RADIANS(G20+$D$30-$B20))*F20),2)+POWER($F$30-($F$31+COS(RADIANS(G20+$D$30-$B20))*F20),2))</f>
        <v>0.85336193817413097</v>
      </c>
      <c r="G21" s="14">
        <f>MOD(DEGREES(ATAN2($F$30-($F$31+COS(RADIANS(G20+$D$30-$B20))*F20),$E$30-($E$31+SIN(RADIANS(G20+$D$30-$B20))*F20))),360)</f>
        <v>294.21891254102661</v>
      </c>
      <c r="H21" s="90">
        <f>SQRT(POWER($E$30-($E$31+SIN(RADIANS(I20+$D$30-$B20))*H20),2)+POWER($F$30-($F$31+COS(RADIANS(I20+$D$30-$B20))*H20),2))</f>
        <v>0.86517709181555158</v>
      </c>
      <c r="I21" s="91">
        <f>MOD(DEGREES(ATAN2($F$30-($F$31+COS(RADIANS(I20+$D$30-$B20))*H20),$E$30-($E$31+SIN(RADIANS(I20+$D$30-$B20))*H20))),360)</f>
        <v>295.15117943176176</v>
      </c>
      <c r="J21" s="17">
        <f>SQRT(POWER($E$30-($E$31+SIN(RADIANS(K20+$D$30-$B20))*J20),2)+POWER($F$30-($F$31+COS(RADIANS(K20+$D$30-$B20))*J20),2))</f>
        <v>0.8778420035487785</v>
      </c>
      <c r="K21" s="14">
        <f>MOD(DEGREES(ATAN2($F$30-($F$31+COS(RADIANS(K20+$D$30-$B20))*J20),$E$30-($E$31+SIN(RADIANS(K20+$D$30-$B20))*J20))),360)</f>
        <v>296.08886534812245</v>
      </c>
      <c r="L21" s="90">
        <f>SQRT(POWER($E$30-($E$31+SIN(RADIANS(M20+$D$30-$B20))*L20),2)+POWER($F$30-($F$31+COS(RADIANS(M20+$D$30-$B20))*L20),2))</f>
        <v>0.89141604110570494</v>
      </c>
      <c r="M21" s="91">
        <f>MOD(DEGREES(ATAN2($F$30-($F$31+COS(RADIANS(M20+$D$30-$B20))*L20),$E$30-($E$31+SIN(RADIANS(M20+$D$30-$B20))*L20))),360)</f>
        <v>297.0317093969087</v>
      </c>
      <c r="N21" s="17">
        <f>SQRT(POWER($E$30-($E$31+SIN(RADIANS(O20+$D$30-$B20))*N20),2)+POWER($F$30-($F$31+COS(RADIANS(O20+$D$30-$B20))*N20),2))</f>
        <v>0.90596505363423852</v>
      </c>
      <c r="O21" s="14">
        <f>MOD(DEGREES(ATAN2($F$30-($F$31+COS(RADIANS(O20+$D$30-$B20))*N20),$E$30-($E$31+SIN(RADIANS(O20+$D$30-$B20))*N20))),360)</f>
        <v>297.97947543071757</v>
      </c>
      <c r="P21" s="90">
        <f>SQRT(POWER($E$30-($E$31+SIN(RADIANS(Q20+$D$30-$B20))*P20),2)+POWER($F$30-($F$31+COS(RADIANS(Q20+$D$30-$B20))*P20),2))</f>
        <v>0.92156232807511673</v>
      </c>
      <c r="Q21" s="91">
        <f>MOD(DEGREES(ATAN2($F$30-($F$31+COS(RADIANS(Q20+$D$30-$B20))*P20),$E$30-($E$31+SIN(RADIANS(Q20+$D$30-$B20))*P20))),360)</f>
        <v>298.93195470735571</v>
      </c>
      <c r="R21" s="17">
        <f>SQRT(POWER($E$30-($E$31+SIN(RADIANS(S20+$D$30-$B20))*R20),2)+POWER($F$30-($F$31+COS(RADIANS(S20+$D$30-$B20))*R20),2))</f>
        <v>0.93828971527607163</v>
      </c>
      <c r="S21" s="18">
        <f>MOD(DEGREES(ATAN2($F$30-($F$31+COS(RADIANS(S20+$D$30-$B20))*R20),$E$30-($E$31+SIN(RADIANS(S20+$D$30-$B20))*R20))),360)</f>
        <v>299.88896849760857</v>
      </c>
      <c r="T21" s="15">
        <f>SQRT(POWER($E$30-($E$31+SIN(RADIANS(U20+$D$30-$B20))*T20),2)+POWER($F$30-($F$31+COS(RADIANS(U20+$D$30-$B20))*T20),2))</f>
        <v>0.95623896171990286</v>
      </c>
      <c r="U21" s="16">
        <f>MOD(DEGREES(ATAN2($F$30-($F$31+COS(RADIANS(U20+$D$30-$B20))*T20),$E$30-($E$31+SIN(RADIANS(U20+$D$30-$B20))*T20))),360)</f>
        <v>300.85037063115891</v>
      </c>
      <c r="V21" s="99">
        <f>SQRT(POWER($E$30-($E$31+SIN(RADIANS(W20+$D$30-$B20))*V20),2)+POWER($F$30-($F$31+COS(RADIANS(W20+$D$30-$B20))*V20),2))</f>
        <v>0.97551329171628653</v>
      </c>
      <c r="W21" s="100">
        <f>MOD(DEGREES(ATAN2($F$30-($F$31+COS(RADIANS(W20+$D$30-$B20))*V20),$E$30-($E$31+SIN(RADIANS(W20+$D$30-$B20))*V20))),360)</f>
        <v>301.81604997219802</v>
      </c>
      <c r="X21" s="90">
        <f>SQRT(POWER($E$30-($E$31+SIN(RADIANS(Y20+$D$30-$B20))*X20),2)+POWER($F$30-($F$31+COS(RADIANS(Y20+$D$30-$B20))*X20),2))</f>
        <v>0.99622929648827174</v>
      </c>
      <c r="Y21" s="91">
        <f>MOD(DEGREES(ATAN2($F$30-($F$31+COS(RADIANS(Y20+$D$30-$B20))*X20),$E$30-($E$31+SIN(RADIANS(Y20+$D$30-$B20))*X20))),360)</f>
        <v>302.78593281810788</v>
      </c>
    </row>
    <row r="22" spans="1:25" ht="15" customHeight="1" thickTop="1" x14ac:dyDescent="0.25">
      <c r="A22" s="142"/>
      <c r="B22" s="153">
        <f>B20-2</f>
        <v>-6</v>
      </c>
      <c r="C22" s="136">
        <f>MOD('New RPD &amp; RPB'!E$6-B22,360)</f>
        <v>294</v>
      </c>
      <c r="D22" s="10">
        <f>$B$31*$B$30/($B$30-D$4+$B22)</f>
        <v>0.52619047619047621</v>
      </c>
      <c r="E22" s="11">
        <f>IF('New RPD &amp; RPB'!$H$8&gt;0,90,270)+(D$4+$B22)/2*$V$31</f>
        <v>272.37397061259338</v>
      </c>
      <c r="F22" s="82">
        <f>$B$31*$B$30/($B$30-F$4+$B22)</f>
        <v>0.53902439024390247</v>
      </c>
      <c r="G22" s="92">
        <f>IF('New RPD &amp; RPB'!$H$8&gt;0,90,270)+(F$4+$B22)/2*$V$31</f>
        <v>271.18698530629672</v>
      </c>
      <c r="H22" s="10">
        <f>$B$31*$B$30/($B$30-H$4+$B22)</f>
        <v>0.55249999999999999</v>
      </c>
      <c r="I22" s="11">
        <f>IF('New RPD &amp; RPB'!$H$8&gt;0,90,270)+(H$4+$B22)/2*$V$31</f>
        <v>270</v>
      </c>
      <c r="J22" s="82">
        <f>$B$31*$B$30/($B$30-J$4+$B22)</f>
        <v>0.56666666666666665</v>
      </c>
      <c r="K22" s="92">
        <f>IF('New RPD &amp; RPB'!$H$8&gt;0,90,270)+(J$4+$B22)/2*$V$31</f>
        <v>268.81301469370328</v>
      </c>
      <c r="L22" s="10">
        <f>$B$31*$B$30/($B$30-L$4+$B22)</f>
        <v>0.58157894736842108</v>
      </c>
      <c r="M22" s="11">
        <f>IF('New RPD &amp; RPB'!$H$8&gt;0,90,270)+(L$4+$B22)/2*$V$31</f>
        <v>267.62602938740662</v>
      </c>
      <c r="N22" s="82">
        <f>$B$31*$B$30/($B$30-N$4+$B22)</f>
        <v>0.5972972972972973</v>
      </c>
      <c r="O22" s="92">
        <f>IF('New RPD &amp; RPB'!$H$8&gt;0,90,270)+(N$4+$B22)/2*$V$31</f>
        <v>266.4390440811099</v>
      </c>
      <c r="P22" s="10">
        <f>$B$31*$B$30/($B$30-P$4+$B22)</f>
        <v>0.61388888888888893</v>
      </c>
      <c r="Q22" s="11">
        <f>IF('New RPD &amp; RPB'!$H$8&gt;0,90,270)+(P$4+$B22)/2*$V$31</f>
        <v>265.25205877481324</v>
      </c>
      <c r="R22" s="82">
        <f>$B$31*$B$30/($B$30-R$4+$B22)</f>
        <v>0.63142857142857145</v>
      </c>
      <c r="S22" s="81">
        <f>IF('New RPD &amp; RPB'!$H$8&gt;0,90,270)+(R$4+$B22)/2*$V$31</f>
        <v>264.06507346851652</v>
      </c>
      <c r="T22" s="82">
        <f>$B$31*$B$30/($B$30-T$4+$B22)</f>
        <v>0.65</v>
      </c>
      <c r="U22" s="83">
        <f>IF('New RPD &amp; RPB'!$H$8&gt;0,90,270)+(T$4+$B22)/2*$V$31</f>
        <v>262.87808816221985</v>
      </c>
      <c r="V22" s="10">
        <f>$B$31*$B$30/($B$30-V$4+$B22)</f>
        <v>0.66969696969696979</v>
      </c>
      <c r="W22" s="95">
        <f>IF('New RPD &amp; RPB'!$H$8&gt;0,90,270)+(V$4+$B22)/2*$V$31</f>
        <v>261.69110285592313</v>
      </c>
      <c r="X22" s="10">
        <f>$B$31*$B$30/($B$30-X$4+$B22)</f>
        <v>0.69062500000000004</v>
      </c>
      <c r="Y22" s="11">
        <f>IF('New RPD &amp; RPB'!$H$8&gt;0,90,270)+(X$4+$B22)/2*$V$31</f>
        <v>260.50411754962647</v>
      </c>
    </row>
    <row r="23" spans="1:25" ht="15" customHeight="1" thickBot="1" x14ac:dyDescent="0.3">
      <c r="A23" s="142"/>
      <c r="B23" s="149"/>
      <c r="C23" s="137"/>
      <c r="D23" s="12">
        <f>SQRT(POWER($E$30-($E$31+SIN(RADIANS(E22+$D$30-$B22))*D22),2)+POWER($F$30-($F$31+COS(RADIANS(E22+$D$30-$B22))*D22),2))</f>
        <v>0.83549637645750974</v>
      </c>
      <c r="E23" s="13">
        <f>MOD(DEGREES(ATAN2($F$30-($F$31+COS(RADIANS(E22+$D$30-$B22))*D22),$E$30-($E$31+SIN(RADIANS(E22+$D$30-$B22))*D22))),360)</f>
        <v>292.38899186423862</v>
      </c>
      <c r="F23" s="87">
        <f>SQRT(POWER($E$30-($E$31+SIN(RADIANS(G22+$D$30-$B22))*F22),2)+POWER($F$30-($F$31+COS(RADIANS(G22+$D$30-$B22))*F22),2))</f>
        <v>0.84585874468040856</v>
      </c>
      <c r="G23" s="93">
        <f>MOD(DEGREES(ATAN2($F$30-($F$31+COS(RADIANS(G22+$D$30-$B22))*F22),$E$30-($E$31+SIN(RADIANS(G22+$D$30-$B22))*F22))),360)</f>
        <v>293.30100389335138</v>
      </c>
      <c r="H23" s="12">
        <f>SQRT(POWER($E$30-($E$31+SIN(RADIANS(I22+$D$30-$B22))*H22),2)+POWER($F$30-($F$31+COS(RADIANS(I22+$D$30-$B22))*H22),2))</f>
        <v>0.85696810893409003</v>
      </c>
      <c r="I23" s="13">
        <f>MOD(DEGREES(ATAN2($F$30-($F$31+COS(RADIANS(I22+$D$30-$B22))*H22),$E$30-($E$31+SIN(RADIANS(I22+$D$30-$B22))*H22))),360)</f>
        <v>294.21877818938515</v>
      </c>
      <c r="J23" s="87">
        <f>SQRT(POWER($E$30-($E$31+SIN(RADIANS(K22+$D$30-$B22))*J22),2)+POWER($F$30-($F$31+COS(RADIANS(K22+$D$30-$B22))*J22),2))</f>
        <v>0.86887313358997142</v>
      </c>
      <c r="K23" s="93">
        <f>MOD(DEGREES(ATAN2($F$30-($F$31+COS(RADIANS(K22+$D$30-$B22))*J22),$E$30-($E$31+SIN(RADIANS(K22+$D$30-$B22))*J22))),360)</f>
        <v>295.14202439755741</v>
      </c>
      <c r="L23" s="12">
        <f>SQRT(POWER($E$30-($E$31+SIN(RADIANS(M22+$D$30-$B22))*L22),2)+POWER($F$30-($F$31+COS(RADIANS(M22+$D$30-$B22))*L22),2))</f>
        <v>0.88162745326224834</v>
      </c>
      <c r="M23" s="13">
        <f>MOD(DEGREES(ATAN2($F$30-($F$31+COS(RADIANS(M22+$D$30-$B22))*L22),$E$30-($E$31+SIN(RADIANS(M22+$D$30-$B22))*L22))),360)</f>
        <v>296.07047216113148</v>
      </c>
      <c r="N23" s="87">
        <f>SQRT(POWER($E$30-($E$31+SIN(RADIANS(O22+$D$30-$B22))*N22),2)+POWER($F$30-($F$31+COS(RADIANS(O22+$D$30-$B22))*N22),2))</f>
        <v>0.89529037108386833</v>
      </c>
      <c r="O23" s="93">
        <f>MOD(DEGREES(ATAN2($F$30-($F$31+COS(RADIANS(O22+$D$30-$B22))*N22),$E$30-($E$31+SIN(RADIANS(O22+$D$30-$B22))*N22))),360)</f>
        <v>297.00387377942639</v>
      </c>
      <c r="P23" s="12">
        <f>SQRT(POWER($E$30-($E$31+SIN(RADIANS(Q22+$D$30-$B22))*P22),2)+POWER($F$30-($F$31+COS(RADIANS(Q22+$D$30-$B22))*P22),2))</f>
        <v>0.90992767443971856</v>
      </c>
      <c r="Q23" s="13">
        <f>MOD(DEGREES(ATAN2($F$30-($F$31+COS(RADIANS(Q22+$D$30-$B22))*P22),$E$30-($E$31+SIN(RADIANS(Q22+$D$30-$B22))*P22))),360)</f>
        <v>297.9420068374107</v>
      </c>
      <c r="R23" s="87">
        <f>SQRT(POWER($E$30-($E$31+SIN(RADIANS(S22+$D$30-$B22))*R22),2)+POWER($F$30-($F$31+COS(RADIANS(S22+$D$30-$B22))*R22),2))</f>
        <v>0.92561259153012332</v>
      </c>
      <c r="S23" s="84">
        <f>MOD(DEGREES(ATAN2($F$30-($F$31+COS(RADIANS(S22+$D$30-$B22))*R22),$E$30-($E$31+SIN(RADIANS(S22+$D$30-$B22))*R22))),360)</f>
        <v>298.8846767948661</v>
      </c>
      <c r="T23" s="85">
        <f>SQRT(POWER($E$30-($E$31+SIN(RADIANS(U22+$D$30-$B22))*T22),2)+POWER($F$30-($F$31+COS(RADIANS(U22+$D$30-$B22))*T22),2))</f>
        <v>0.94242691763721653</v>
      </c>
      <c r="U23" s="86">
        <f>MOD(DEGREES(ATAN2($F$30-($F$31+COS(RADIANS(U22+$D$30-$B22))*T22),$E$30-($E$31+SIN(RADIANS(U22+$D$30-$B22))*T22))),360)</f>
        <v>299.83171952457542</v>
      </c>
      <c r="V23" s="96">
        <f>SQRT(POWER($E$30-($E$31+SIN(RADIANS(W22+$D$30-$B22))*V22),2)+POWER($F$30-($F$31+COS(RADIANS(W22+$D$30-$B22))*V22),2))</f>
        <v>0.96046234696865462</v>
      </c>
      <c r="W23" s="97">
        <f>MOD(DEGREES(ATAN2($F$30-($F$31+COS(RADIANS(W22+$D$30-$B22))*V22),$E$30-($E$31+SIN(RADIANS(W22+$D$30-$B22))*V22))),360)</f>
        <v>300.78300379061187</v>
      </c>
      <c r="X23" s="12">
        <f>SQRT(POWER($E$30-($E$31+SIN(RADIANS(Y22+$D$30-$B22))*X22),2)+POWER($F$30-($F$31+COS(RADIANS(Y22+$D$30-$B22))*X22),2))</f>
        <v>0.97982205492669561</v>
      </c>
      <c r="Y23" s="13">
        <f>MOD(DEGREES(ATAN2($F$30-($F$31+COS(RADIANS(Y22+$D$30-$B22))*X22),$E$30-($E$31+SIN(RADIANS(Y22+$D$30-$B22))*X22))),360)</f>
        <v>301.73843365954752</v>
      </c>
    </row>
    <row r="24" spans="1:25" ht="15" customHeight="1" thickTop="1" x14ac:dyDescent="0.25">
      <c r="A24" s="142"/>
      <c r="B24" s="153">
        <f>B22-2</f>
        <v>-8</v>
      </c>
      <c r="C24" s="136">
        <f>MOD('New RPD &amp; RPB'!E$6-B24,360)</f>
        <v>296</v>
      </c>
      <c r="D24" s="88">
        <f>$B$31*$B$30/($B$30-D$4+$B24)</f>
        <v>0.51395348837209309</v>
      </c>
      <c r="E24" s="89">
        <f>IF('New RPD &amp; RPB'!$H$8&gt;0,90,270)+(D$4+$B24)/2*$V$31</f>
        <v>271.18698530629672</v>
      </c>
      <c r="F24" s="79">
        <f>$B$31*$B$30/($B$30-F$4+$B24)</f>
        <v>0.52619047619047621</v>
      </c>
      <c r="G24" s="94">
        <f>IF('New RPD &amp; RPB'!$H$8&gt;0,90,270)+(F$4+$B24)/2*$V$31</f>
        <v>270</v>
      </c>
      <c r="H24" s="88">
        <f>$B$31*$B$30/($B$30-H$4+$B24)</f>
        <v>0.53902439024390247</v>
      </c>
      <c r="I24" s="89">
        <f>IF('New RPD &amp; RPB'!$H$8&gt;0,90,270)+(H$4+$B24)/2*$V$31</f>
        <v>268.81301469370328</v>
      </c>
      <c r="J24" s="79">
        <f>$B$31*$B$30/($B$30-J$4+$B24)</f>
        <v>0.55249999999999999</v>
      </c>
      <c r="K24" s="94">
        <f>IF('New RPD &amp; RPB'!$H$8&gt;0,90,270)+(J$4+$B24)/2*$V$31</f>
        <v>267.62602938740662</v>
      </c>
      <c r="L24" s="88">
        <f>$B$31*$B$30/($B$30-L$4+$B24)</f>
        <v>0.56666666666666665</v>
      </c>
      <c r="M24" s="89">
        <f>IF('New RPD &amp; RPB'!$H$8&gt;0,90,270)+(L$4+$B24)/2*$V$31</f>
        <v>266.4390440811099</v>
      </c>
      <c r="N24" s="79">
        <f>$B$31*$B$30/($B$30-N$4+$B24)</f>
        <v>0.58157894736842108</v>
      </c>
      <c r="O24" s="94">
        <f>IF('New RPD &amp; RPB'!$H$8&gt;0,90,270)+(N$4+$B24)/2*$V$31</f>
        <v>265.25205877481324</v>
      </c>
      <c r="P24" s="88">
        <f>$B$31*$B$30/($B$30-P$4+$B24)</f>
        <v>0.5972972972972973</v>
      </c>
      <c r="Q24" s="89">
        <f>IF('New RPD &amp; RPB'!$H$8&gt;0,90,270)+(P$4+$B24)/2*$V$31</f>
        <v>264.06507346851652</v>
      </c>
      <c r="R24" s="79">
        <f>$B$31*$B$30/($B$30-R$4+$B24)</f>
        <v>0.61388888888888893</v>
      </c>
      <c r="S24" s="78">
        <f>IF('New RPD &amp; RPB'!$H$8&gt;0,90,270)+(R$4+$B24)/2*$V$31</f>
        <v>262.87808816221985</v>
      </c>
      <c r="T24" s="79">
        <f>$B$31*$B$30/($B$30-T$4+$B24)</f>
        <v>0.63142857142857145</v>
      </c>
      <c r="U24" s="80">
        <f>IF('New RPD &amp; RPB'!$H$8&gt;0,90,270)+(T$4+$B24)/2*$V$31</f>
        <v>261.69110285592313</v>
      </c>
      <c r="V24" s="88">
        <f>$B$31*$B$30/($B$30-V$4+$B24)</f>
        <v>0.65</v>
      </c>
      <c r="W24" s="98">
        <f>IF('New RPD &amp; RPB'!$H$8&gt;0,90,270)+(V$4+$B24)/2*$V$31</f>
        <v>260.50411754962647</v>
      </c>
      <c r="X24" s="88">
        <f>$B$31*$B$30/($B$30-X$4+$B24)</f>
        <v>0.66969696969696979</v>
      </c>
      <c r="Y24" s="89">
        <f>IF('New RPD &amp; RPB'!$H$8&gt;0,90,270)+(X$4+$B24)/2*$V$31</f>
        <v>259.31713224332975</v>
      </c>
    </row>
    <row r="25" spans="1:25" ht="15" customHeight="1" thickBot="1" x14ac:dyDescent="0.3">
      <c r="A25" s="142"/>
      <c r="B25" s="149"/>
      <c r="C25" s="137"/>
      <c r="D25" s="90">
        <f>SQRT(POWER($E$30-($E$31+SIN(RADIANS(E24+$D$30-$B24))*D24),2)+POWER($F$30-($F$31+COS(RADIANS(E24+$D$30-$B24))*D24),2))</f>
        <v>0.82917364452886089</v>
      </c>
      <c r="E25" s="91">
        <f>MOD(DEGREES(ATAN2($F$30-($F$31+COS(RADIANS(E24+$D$30-$B24))*D24),$E$30-($E$31+SIN(RADIANS(E24+$D$30-$B24))*D24))),360)</f>
        <v>291.50684064311065</v>
      </c>
      <c r="F25" s="17">
        <f>SQRT(POWER($E$30-($E$31+SIN(RADIANS(G24+$D$30-$B24))*F24),2)+POWER($F$30-($F$31+COS(RADIANS(G24+$D$30-$B24))*F24),2))</f>
        <v>0.83892331340102999</v>
      </c>
      <c r="G25" s="14">
        <f>MOD(DEGREES(ATAN2($F$30-($F$31+COS(RADIANS(G24+$D$30-$B24))*F24),$E$30-($E$31+SIN(RADIANS(G24+$D$30-$B24))*F24))),360)</f>
        <v>292.40452899822338</v>
      </c>
      <c r="H25" s="90">
        <f>SQRT(POWER($E$30-($E$31+SIN(RADIANS(I24+$D$30-$B24))*H24),2)+POWER($F$30-($F$31+COS(RADIANS(I24+$D$30-$B24))*H24),2))</f>
        <v>0.84937542032608315</v>
      </c>
      <c r="I25" s="91">
        <f>MOD(DEGREES(ATAN2($F$30-($F$31+COS(RADIANS(I24+$D$30-$B24))*H24),$E$30-($E$31+SIN(RADIANS(I24+$D$30-$B24))*H24))),360)</f>
        <v>293.30804030983114</v>
      </c>
      <c r="J25" s="17">
        <f>SQRT(POWER($E$30-($E$31+SIN(RADIANS(K24+$D$30-$B24))*J24),2)+POWER($F$30-($F$31+COS(RADIANS(K24+$D$30-$B24))*J24),2))</f>
        <v>0.86057419019994785</v>
      </c>
      <c r="K25" s="14">
        <f>MOD(DEGREES(ATAN2($F$30-($F$31+COS(RADIANS(K24+$D$30-$B24))*J24),$E$30-($E$31+SIN(RADIANS(K24+$D$30-$B24))*J24))),360)</f>
        <v>294.21707788223495</v>
      </c>
      <c r="L25" s="90">
        <f>SQRT(POWER($E$30-($E$31+SIN(RADIANS(M24+$D$30-$B24))*L24),2)+POWER($F$30-($F$31+COS(RADIANS(M24+$D$30-$B24))*L24),2))</f>
        <v>0.87256822047914073</v>
      </c>
      <c r="M25" s="91">
        <f>MOD(DEGREES(ATAN2($F$30-($F$31+COS(RADIANS(M24+$D$30-$B24))*L24),$E$30-($E$31+SIN(RADIANS(M24+$D$30-$B24))*L24))),360)</f>
        <v>295.13136303919708</v>
      </c>
      <c r="N25" s="17">
        <f>SQRT(POWER($E$30-($E$31+SIN(RADIANS(O24+$D$30-$B24))*N24),2)+POWER($F$30-($F$31+COS(RADIANS(O24+$D$30-$B24))*N24),2))</f>
        <v>0.88541108128518986</v>
      </c>
      <c r="O25" s="14">
        <f>MOD(DEGREES(ATAN2($F$30-($F$31+COS(RADIANS(O24+$D$30-$B24))*N24),$E$30-($E$31+SIN(RADIANS(O24+$D$30-$B24))*N24))),360)</f>
        <v>296.05063773343375</v>
      </c>
      <c r="P25" s="90">
        <f>SQRT(POWER($E$30-($E$31+SIN(RADIANS(Q24+$D$30-$B24))*P24),2)+POWER($F$30-($F$31+COS(RADIANS(Q24+$D$30-$B24))*P24),2))</f>
        <v>0.89916201391379225</v>
      </c>
      <c r="Q25" s="91">
        <f>MOD(DEGREES(ATAN2($F$30-($F$31+COS(RADIANS(Q24+$D$30-$B24))*P24),$E$30-($E$31+SIN(RADIANS(Q24+$D$30-$B24))*P24))),360)</f>
        <v>296.97466713839935</v>
      </c>
      <c r="R25" s="17">
        <f>SQRT(POWER($E$30-($E$31+SIN(RADIANS(S24+$D$30-$B24))*R24),2)+POWER($F$30-($F$31+COS(RADIANS(S24+$D$30-$B24))*R24),2))</f>
        <v>0.91388674677231962</v>
      </c>
      <c r="S25" s="18">
        <f>MOD(DEGREES(ATAN2($F$30-($F$31+COS(RADIANS(S24+$D$30-$B24))*R24),$E$30-($E$31+SIN(RADIANS(S24+$D$30-$B24))*R24))),360)</f>
        <v>297.90324221023832</v>
      </c>
      <c r="T25" s="15">
        <f>SQRT(POWER($E$30-($E$31+SIN(RADIANS(U24+$D$30-$B24))*T24),2)+POWER($F$30-($F$31+COS(RADIANS(U24+$D$30-$B24))*T24),2))</f>
        <v>0.92965845211619802</v>
      </c>
      <c r="U25" s="16">
        <f>MOD(DEGREES(ATAN2($F$30-($F$31+COS(RADIANS(U24+$D$30-$B24))*T24),$E$30-($E$31+SIN(RADIANS(U24+$D$30-$B24))*T24))),360)</f>
        <v>298.83618220909227</v>
      </c>
      <c r="V25" s="99">
        <f>SQRT(POWER($E$30-($E$31+SIN(RADIANS(W24+$D$30-$B24))*V24),2)+POWER($F$30-($F$31+COS(RADIANS(W24+$D$30-$B24))*V24),2))</f>
        <v>0.94655887245446124</v>
      </c>
      <c r="W25" s="100">
        <f>MOD(DEGREES(ATAN2($F$30-($F$31+COS(RADIANS(W24+$D$30-$B24))*V24),$E$30-($E$31+SIN(RADIANS(W24+$D$30-$B24))*V24))),360)</f>
        <v>299.773337170437</v>
      </c>
      <c r="X25" s="90">
        <f>SQRT(POWER($E$30-($E$31+SIN(RADIANS(Y24+$D$30-$B24))*X24),2)+POWER($F$30-($F$31+COS(RADIANS(Y24+$D$30-$B24))*X24),2))</f>
        <v>0.96467965249700549</v>
      </c>
      <c r="Y25" s="91">
        <f>MOD(DEGREES(ATAN2($F$30-($F$31+COS(RADIANS(Y24+$D$30-$B24))*X24),$E$30-($E$31+SIN(RADIANS(Y24+$D$30-$B24))*X24))),360)</f>
        <v>300.71459031875497</v>
      </c>
    </row>
    <row r="26" spans="1:25" ht="15" customHeight="1" thickTop="1" x14ac:dyDescent="0.25">
      <c r="A26" s="142"/>
      <c r="B26" s="153">
        <f>B24-2</f>
        <v>-10</v>
      </c>
      <c r="C26" s="136">
        <f>MOD('New RPD &amp; RPB'!E$6-B26,360)</f>
        <v>298</v>
      </c>
      <c r="D26" s="10">
        <f>$B$31*$B$30/($B$30-D$4+$B26)</f>
        <v>0.50227272727272732</v>
      </c>
      <c r="E26" s="11">
        <f>IF('New RPD &amp; RPB'!$H$8&gt;0,90,270)+(D$4+$B26)/2*$V$31</f>
        <v>270</v>
      </c>
      <c r="F26" s="82">
        <f>$B$31*$B$30/($B$30-F$4+$B26)</f>
        <v>0.51395348837209309</v>
      </c>
      <c r="G26" s="92">
        <f>IF('New RPD &amp; RPB'!$H$8&gt;0,90,270)+(F$4+$B26)/2*$V$31</f>
        <v>268.81301469370328</v>
      </c>
      <c r="H26" s="10">
        <f>$B$31*$B$30/($B$30-H$4+$B26)</f>
        <v>0.52619047619047621</v>
      </c>
      <c r="I26" s="11">
        <f>IF('New RPD &amp; RPB'!$H$8&gt;0,90,270)+(H$4+$B26)/2*$V$31</f>
        <v>267.62602938740662</v>
      </c>
      <c r="J26" s="82">
        <f>$B$31*$B$30/($B$30-J$4+$B26)</f>
        <v>0.53902439024390247</v>
      </c>
      <c r="K26" s="92">
        <f>IF('New RPD &amp; RPB'!$H$8&gt;0,90,270)+(J$4+$B26)/2*$V$31</f>
        <v>266.4390440811099</v>
      </c>
      <c r="L26" s="10">
        <f>$B$31*$B$30/($B$30-L$4+$B26)</f>
        <v>0.55249999999999999</v>
      </c>
      <c r="M26" s="11">
        <f>IF('New RPD &amp; RPB'!$H$8&gt;0,90,270)+(L$4+$B26)/2*$V$31</f>
        <v>265.25205877481324</v>
      </c>
      <c r="N26" s="82">
        <f>$B$31*$B$30/($B$30-N$4+$B26)</f>
        <v>0.56666666666666665</v>
      </c>
      <c r="O26" s="92">
        <f>IF('New RPD &amp; RPB'!$H$8&gt;0,90,270)+(N$4+$B26)/2*$V$31</f>
        <v>264.06507346851652</v>
      </c>
      <c r="P26" s="10">
        <f>$B$31*$B$30/($B$30-P$4+$B26)</f>
        <v>0.58157894736842108</v>
      </c>
      <c r="Q26" s="11">
        <f>IF('New RPD &amp; RPB'!$H$8&gt;0,90,270)+(P$4+$B26)/2*$V$31</f>
        <v>262.87808816221985</v>
      </c>
      <c r="R26" s="82">
        <f>$B$31*$B$30/($B$30-R$4+$B26)</f>
        <v>0.5972972972972973</v>
      </c>
      <c r="S26" s="81">
        <f>IF('New RPD &amp; RPB'!$H$8&gt;0,90,270)+(R$4+$B26)/2*$V$31</f>
        <v>261.69110285592313</v>
      </c>
      <c r="T26" s="82">
        <f>$B$31*$B$30/($B$30-T$4+$B26)</f>
        <v>0.61388888888888893</v>
      </c>
      <c r="U26" s="83">
        <f>IF('New RPD &amp; RPB'!$H$8&gt;0,90,270)+(T$4+$B26)/2*$V$31</f>
        <v>260.50411754962647</v>
      </c>
      <c r="V26" s="10">
        <f>$B$31*$B$30/($B$30-V$4+$B26)</f>
        <v>0.63142857142857145</v>
      </c>
      <c r="W26" s="95">
        <f>IF('New RPD &amp; RPB'!$H$8&gt;0,90,270)+(V$4+$B26)/2*$V$31</f>
        <v>259.31713224332975</v>
      </c>
      <c r="X26" s="10">
        <f>$B$31*$B$30/($B$30-X$4+$B26)</f>
        <v>0.65</v>
      </c>
      <c r="Y26" s="11">
        <f>IF('New RPD &amp; RPB'!$H$8&gt;0,90,270)+(X$4+$B26)/2*$V$31</f>
        <v>258.13014693703303</v>
      </c>
    </row>
    <row r="27" spans="1:25" ht="15" customHeight="1" thickBot="1" x14ac:dyDescent="0.3">
      <c r="A27" s="142"/>
      <c r="B27" s="149"/>
      <c r="C27" s="137"/>
      <c r="D27" s="12">
        <f>SQRT(POWER($E$30-($E$31+SIN(RADIANS(E26+$D$30-$B26))*D26),2)+POWER($F$30-($F$31+COS(RADIANS(E26+$D$30-$B26))*D26),2))</f>
        <v>0.82333591034221631</v>
      </c>
      <c r="E27" s="13">
        <f>MOD(DEGREES(ATAN2($F$30-($F$31+COS(RADIANS(E26+$D$30-$B26))*D26),$E$30-($E$31+SIN(RADIANS(E26+$D$30-$B26))*D26))),360)</f>
        <v>290.64534846150457</v>
      </c>
      <c r="F27" s="87">
        <f>SQRT(POWER($E$30-($E$31+SIN(RADIANS(G26+$D$30-$B26))*F26),2)+POWER($F$30-($F$31+COS(RADIANS(G26+$D$30-$B26))*F26),2))</f>
        <v>0.83251287898347082</v>
      </c>
      <c r="G27" s="93">
        <f>MOD(DEGREES(ATAN2($F$30-($F$31+COS(RADIANS(G26+$D$30-$B26))*F26),$E$30-($E$31+SIN(RADIANS(G26+$D$30-$B26))*F26))),360)</f>
        <v>291.52894122010349</v>
      </c>
      <c r="H27" s="12">
        <f>SQRT(POWER($E$30-($E$31+SIN(RADIANS(I26+$D$30-$B26))*H26),2)+POWER($F$30-($F$31+COS(RADIANS(I26+$D$30-$B26))*H26),2))</f>
        <v>0.84235171159873778</v>
      </c>
      <c r="I27" s="13">
        <f>MOD(DEGREES(ATAN2($F$30-($F$31+COS(RADIANS(I26+$D$30-$B26))*H26),$E$30-($E$31+SIN(RADIANS(I26+$D$30-$B26))*H26))),360)</f>
        <v>292.41841793123189</v>
      </c>
      <c r="J27" s="87">
        <f>SQRT(POWER($E$30-($E$31+SIN(RADIANS(K26+$D$30-$B26))*J26),2)+POWER($F$30-($F$31+COS(RADIANS(K26+$D$30-$B26))*J26),2))</f>
        <v>0.85289270929463179</v>
      </c>
      <c r="K27" s="93">
        <f>MOD(DEGREES(ATAN2($F$30-($F$31+COS(RADIANS(K26+$D$30-$B26))*J26),$E$30-($E$31+SIN(RADIANS(K26+$D$30-$B26))*J26))),360)</f>
        <v>293.31347658707909</v>
      </c>
      <c r="L27" s="12">
        <f>SQRT(POWER($E$30-($E$31+SIN(RADIANS(M26+$D$30-$B26))*L26),2)+POWER($F$30-($F$31+COS(RADIANS(M26+$D$30-$B26))*L26),2))</f>
        <v>0.86418003042796621</v>
      </c>
      <c r="M27" s="13">
        <f>MOD(DEGREES(ATAN2($F$30-($F$31+COS(RADIANS(M26+$D$30-$B26))*L26),$E$30-($E$31+SIN(RADIANS(M26+$D$30-$B26))*L26))),360)</f>
        <v>294.21383129373049</v>
      </c>
      <c r="N27" s="87">
        <f>SQRT(POWER($E$30-($E$31+SIN(RADIANS(O26+$D$30-$B26))*N26),2)+POWER($F$30-($F$31+COS(RADIANS(O26+$D$30-$B26))*N26),2))</f>
        <v>0.87626220814105449</v>
      </c>
      <c r="O27" s="93">
        <f>MOD(DEGREES(ATAN2($F$30-($F$31+COS(RADIANS(O26+$D$30-$B26))*N26),$E$30-($E$31+SIN(RADIANS(O26+$D$30-$B26))*N26))),360)</f>
        <v>295.11921482582289</v>
      </c>
      <c r="P27" s="12">
        <f>SQRT(POWER($E$30-($E$31+SIN(RADIANS(Q26+$D$30-$B26))*P26),2)+POWER($F$30-($F$31+COS(RADIANS(Q26+$D$30-$B26))*P26),2))</f>
        <v>0.88919275071121795</v>
      </c>
      <c r="Q27" s="13">
        <f>MOD(DEGREES(ATAN2($F$30-($F$31+COS(RADIANS(Q26+$D$30-$B26))*P26),$E$30-($E$31+SIN(RADIANS(Q26+$D$30-$B26))*P26))),360)</f>
        <v>296.02938117351971</v>
      </c>
      <c r="R27" s="87">
        <f>SQRT(POWER($E$30-($E$31+SIN(RADIANS(S26+$D$30-$B26))*R26),2)+POWER($F$30-($F$31+COS(RADIANS(S26+$D$30-$B26))*R26),2))</f>
        <v>0.90303084027921598</v>
      </c>
      <c r="S27" s="84">
        <f>MOD(DEGREES(ATAN2($F$30-($F$31+COS(RADIANS(S26+$D$30-$B26))*R26),$E$30-($E$31+SIN(RADIANS(S26+$D$30-$B26))*R26))),360)</f>
        <v>296.9441080696464</v>
      </c>
      <c r="T27" s="85">
        <f>SQRT(POWER($E$30-($E$31+SIN(RADIANS(U26+$D$30-$B26))*T26),2)+POWER($F$30-($F$31+COS(RADIANS(U26+$D$30-$B26))*T26),2))</f>
        <v>0.91784214897752969</v>
      </c>
      <c r="U27" s="86">
        <f>MOD(DEGREES(ATAN2($F$30-($F$31+COS(RADIANS(U26+$D$30-$B26))*T26),$E$30-($E$31+SIN(RADIANS(U26+$D$30-$B26))*T26))),360)</f>
        <v>297.86319948598214</v>
      </c>
      <c r="V27" s="96">
        <f>SQRT(POWER($E$30-($E$31+SIN(RADIANS(W26+$D$30-$B26))*V26),2)+POWER($F$30-($F$31+COS(RADIANS(W26+$D$30-$B26))*V26),2))</f>
        <v>0.93369979582665807</v>
      </c>
      <c r="W27" s="97">
        <f>MOD(DEGREES(ATAN2($F$30-($F$31+COS(RADIANS(W26+$D$30-$B26))*V26),$E$30-($E$31+SIN(RADIANS(W26+$D$30-$B26))*V26))),360)</f>
        <v>298.78648808904836</v>
      </c>
      <c r="X27" s="12">
        <f>SQRT(POWER($E$30-($E$31+SIN(RADIANS(Y26+$D$30-$B26))*X26),2)+POWER($F$30-($F$31+COS(RADIANS(Y26+$D$30-$B26))*X26),2))</f>
        <v>0.95068547326767916</v>
      </c>
      <c r="Y27" s="13">
        <f>MOD(DEGREES(ATAN2($F$30-($F$31+COS(RADIANS(Y26+$D$30-$B26))*X26),$E$30-($E$31+SIN(RADIANS(Y26+$D$30-$B26))*X26))),360)</f>
        <v>299.71383764724015</v>
      </c>
    </row>
    <row r="28" spans="1:25" ht="15.75" thickTop="1" x14ac:dyDescent="0.25">
      <c r="Q28" s="6"/>
      <c r="W28" t="s">
        <v>23</v>
      </c>
    </row>
    <row r="29" spans="1:25" hidden="1" x14ac:dyDescent="0.25"/>
    <row r="30" spans="1:25" hidden="1" x14ac:dyDescent="0.25">
      <c r="B30">
        <f>'New RPD &amp; RPB'!H8</f>
        <v>-68</v>
      </c>
      <c r="D30">
        <f>Init_Co</f>
        <v>288</v>
      </c>
      <c r="E30" s="2">
        <f>'New RPD &amp; RPB'!$L$6</f>
        <v>-0.80540362551952793</v>
      </c>
      <c r="F30" s="2">
        <f>'New RPD &amp; RPB'!$M$6</f>
        <v>0.46500000000000014</v>
      </c>
      <c r="N30">
        <v>10</v>
      </c>
      <c r="O30">
        <v>2</v>
      </c>
    </row>
    <row r="31" spans="1:25" hidden="1" x14ac:dyDescent="0.25">
      <c r="B31">
        <f>'New RPD &amp; RPB'!E8</f>
        <v>0.65</v>
      </c>
      <c r="E31" s="2">
        <f>'New RPD &amp; RPB'!$L$7</f>
        <v>0.20086104634371568</v>
      </c>
      <c r="F31" s="2">
        <f>'New RPD &amp; RPB'!M7</f>
        <v>0.61818673559184989</v>
      </c>
      <c r="M31" s="1">
        <f>ABS('New RPD &amp; RPB'!H9)</f>
        <v>34</v>
      </c>
      <c r="N31" s="2">
        <f>N30+SIN(RADIANS(M31))*O30</f>
        <v>11.118385806941493</v>
      </c>
      <c r="O31" s="2">
        <f>COS(RADIANS(M31))*O30</f>
        <v>1.6580751451100832</v>
      </c>
      <c r="P31" s="1">
        <f>DEGREES(ATAN2(N31,O31))</f>
        <v>8.4819599041454445</v>
      </c>
      <c r="Q31" s="2">
        <f>N30-SIN(RADIANS(M31))*O30</f>
        <v>8.8816141930585069</v>
      </c>
      <c r="R31" s="2">
        <f>COS(RADIANS(M31))*O30</f>
        <v>1.6580751451100832</v>
      </c>
      <c r="S31" s="1">
        <f>DEGREES(ATAN2(Q31,R31))</f>
        <v>10.57460703737191</v>
      </c>
      <c r="T31" s="1">
        <f>(P31+S31)/2</f>
        <v>9.5282834707586765</v>
      </c>
      <c r="U31" s="1">
        <f>DEGREES(ATAN2(N30,O30))</f>
        <v>11.309932474020215</v>
      </c>
      <c r="V31" s="7">
        <f>U31/T31</f>
        <v>1.186985306296694</v>
      </c>
    </row>
    <row r="32" spans="1:25" hidden="1" x14ac:dyDescent="0.25"/>
  </sheetData>
  <sheetProtection password="870B" sheet="1" objects="1" scenarios="1" selectLockedCells="1" selectUnlockedCells="1"/>
  <mergeCells count="49">
    <mergeCell ref="V5:W5"/>
    <mergeCell ref="X5:Y5"/>
    <mergeCell ref="F5:G5"/>
    <mergeCell ref="H5:I5"/>
    <mergeCell ref="J5:K5"/>
    <mergeCell ref="L5:M5"/>
    <mergeCell ref="N5:O5"/>
    <mergeCell ref="N4:O4"/>
    <mergeCell ref="P4:Q4"/>
    <mergeCell ref="R4:S4"/>
    <mergeCell ref="T4:U4"/>
    <mergeCell ref="P5:Q5"/>
    <mergeCell ref="R5:S5"/>
    <mergeCell ref="T5:U5"/>
    <mergeCell ref="O1:P2"/>
    <mergeCell ref="G1:N2"/>
    <mergeCell ref="A6:A27"/>
    <mergeCell ref="D3:Y3"/>
    <mergeCell ref="V4:W4"/>
    <mergeCell ref="X4:Y4"/>
    <mergeCell ref="B16:B17"/>
    <mergeCell ref="B6:B7"/>
    <mergeCell ref="B20:B21"/>
    <mergeCell ref="B22:B23"/>
    <mergeCell ref="Q1:T2"/>
    <mergeCell ref="D4:E4"/>
    <mergeCell ref="F4:G4"/>
    <mergeCell ref="H4:I4"/>
    <mergeCell ref="J4:K4"/>
    <mergeCell ref="L4:M4"/>
    <mergeCell ref="B24:B25"/>
    <mergeCell ref="B26:B27"/>
    <mergeCell ref="B8:B9"/>
    <mergeCell ref="B10:B11"/>
    <mergeCell ref="B12:B13"/>
    <mergeCell ref="B14:B15"/>
    <mergeCell ref="B18:B19"/>
    <mergeCell ref="C26:C27"/>
    <mergeCell ref="D5:E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showGridLines="0" zoomScaleNormal="100" workbookViewId="0"/>
  </sheetViews>
  <sheetFormatPr defaultRowHeight="15" x14ac:dyDescent="0.25"/>
  <cols>
    <col min="1" max="1" width="6.7109375" customWidth="1"/>
    <col min="4" max="32" width="6.7109375" customWidth="1"/>
    <col min="33" max="38" width="4.7109375" customWidth="1"/>
  </cols>
  <sheetData>
    <row r="1" spans="1:27" ht="15" customHeight="1" x14ac:dyDescent="0.25">
      <c r="B1" s="19"/>
      <c r="C1" s="19"/>
      <c r="D1" s="19"/>
      <c r="E1" s="117" t="s">
        <v>11</v>
      </c>
      <c r="F1" s="118" t="s">
        <v>12</v>
      </c>
      <c r="G1" s="140" t="str">
        <f>'New RPD &amp; RPB'!D11</f>
        <v>Sydney Heads In</v>
      </c>
      <c r="H1" s="141"/>
      <c r="I1" s="141"/>
      <c r="J1" s="141"/>
      <c r="K1" s="141"/>
      <c r="L1" s="141"/>
      <c r="M1" s="141"/>
      <c r="N1" s="141"/>
      <c r="O1" s="146">
        <f>ABS('New RPD &amp; RPB'!H8)</f>
        <v>68</v>
      </c>
      <c r="P1" s="146"/>
      <c r="Q1" s="147" t="str">
        <f>IF('New RPD &amp; RPB'!H8&gt;0, "to Starboard","to Port")</f>
        <v>to Port</v>
      </c>
      <c r="R1" s="147"/>
      <c r="S1" s="147"/>
      <c r="T1" s="147"/>
      <c r="U1" s="19"/>
      <c r="V1" s="19"/>
      <c r="W1" s="121" t="s">
        <v>11</v>
      </c>
      <c r="X1" s="122" t="s">
        <v>12</v>
      </c>
      <c r="Z1" s="19"/>
      <c r="AA1" s="19"/>
    </row>
    <row r="2" spans="1:27" ht="15" customHeight="1" x14ac:dyDescent="0.25">
      <c r="B2" s="19"/>
      <c r="C2" s="19"/>
      <c r="D2" s="19"/>
      <c r="E2" s="119" t="s">
        <v>13</v>
      </c>
      <c r="F2" s="120" t="s">
        <v>14</v>
      </c>
      <c r="G2" s="141"/>
      <c r="H2" s="141"/>
      <c r="I2" s="141"/>
      <c r="J2" s="141"/>
      <c r="K2" s="141"/>
      <c r="L2" s="141"/>
      <c r="M2" s="141"/>
      <c r="N2" s="141"/>
      <c r="O2" s="146"/>
      <c r="P2" s="146"/>
      <c r="Q2" s="147"/>
      <c r="R2" s="147"/>
      <c r="S2" s="147"/>
      <c r="T2" s="147"/>
      <c r="U2" s="19"/>
      <c r="V2" s="19"/>
      <c r="W2" s="123" t="s">
        <v>13</v>
      </c>
      <c r="X2" s="124" t="s">
        <v>14</v>
      </c>
      <c r="Z2" s="19"/>
      <c r="AA2" s="19"/>
    </row>
    <row r="3" spans="1:27" ht="28.5" x14ac:dyDescent="0.45">
      <c r="D3" s="144" t="s">
        <v>27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7" ht="21" x14ac:dyDescent="0.35">
      <c r="B4" s="9">
        <v>18</v>
      </c>
      <c r="C4" s="9"/>
      <c r="D4" s="156">
        <f>B4-3</f>
        <v>15</v>
      </c>
      <c r="E4" s="157"/>
      <c r="F4" s="156">
        <f>D4-3</f>
        <v>12</v>
      </c>
      <c r="G4" s="157"/>
      <c r="H4" s="156">
        <f>F4-3</f>
        <v>9</v>
      </c>
      <c r="I4" s="157"/>
      <c r="J4" s="156">
        <f>H4-3</f>
        <v>6</v>
      </c>
      <c r="K4" s="157"/>
      <c r="L4" s="156">
        <f>J4-3</f>
        <v>3</v>
      </c>
      <c r="M4" s="157"/>
      <c r="N4" s="156">
        <f>L4-3</f>
        <v>0</v>
      </c>
      <c r="O4" s="157"/>
      <c r="P4" s="156">
        <f>N4-3</f>
        <v>-3</v>
      </c>
      <c r="Q4" s="157"/>
      <c r="R4" s="156">
        <f>P4-3</f>
        <v>-6</v>
      </c>
      <c r="S4" s="157"/>
      <c r="T4" s="156">
        <f>R4-3</f>
        <v>-9</v>
      </c>
      <c r="U4" s="157"/>
      <c r="V4" s="156">
        <f>T4-3</f>
        <v>-12</v>
      </c>
      <c r="W4" s="157"/>
      <c r="X4" s="156">
        <f>V4-3</f>
        <v>-15</v>
      </c>
      <c r="Y4" s="157"/>
    </row>
    <row r="5" spans="1:27" ht="21.75" thickBot="1" x14ac:dyDescent="0.4">
      <c r="B5" s="9"/>
      <c r="C5" s="116" t="s">
        <v>26</v>
      </c>
      <c r="D5" s="151">
        <f>MOD('New RPD &amp; RPB'!$E7-D4,360)</f>
        <v>205</v>
      </c>
      <c r="E5" s="152"/>
      <c r="F5" s="151">
        <f>MOD('New RPD &amp; RPB'!$E7-F4,360)</f>
        <v>208</v>
      </c>
      <c r="G5" s="152"/>
      <c r="H5" s="151">
        <f>MOD('New RPD &amp; RPB'!$E7-H4,360)</f>
        <v>211</v>
      </c>
      <c r="I5" s="152"/>
      <c r="J5" s="151">
        <f>MOD('New RPD &amp; RPB'!$E7-J4,360)</f>
        <v>214</v>
      </c>
      <c r="K5" s="152"/>
      <c r="L5" s="151">
        <f>MOD('New RPD &amp; RPB'!$E7-L4,360)</f>
        <v>217</v>
      </c>
      <c r="M5" s="152"/>
      <c r="N5" s="151">
        <f>MOD('New RPD &amp; RPB'!$E7-N4,360)</f>
        <v>220</v>
      </c>
      <c r="O5" s="152"/>
      <c r="P5" s="151">
        <f>MOD('New RPD &amp; RPB'!$E7-P4,360)</f>
        <v>223</v>
      </c>
      <c r="Q5" s="152"/>
      <c r="R5" s="151">
        <f>MOD('New RPD &amp; RPB'!$E7-R4,360)</f>
        <v>226</v>
      </c>
      <c r="S5" s="152"/>
      <c r="T5" s="151">
        <f>MOD('New RPD &amp; RPB'!$E7-T4,360)</f>
        <v>229</v>
      </c>
      <c r="U5" s="152"/>
      <c r="V5" s="151">
        <f>MOD('New RPD &amp; RPB'!$E7-V4,360)</f>
        <v>232</v>
      </c>
      <c r="W5" s="152"/>
      <c r="X5" s="151">
        <f>MOD('New RPD &amp; RPB'!$E7-X4,360)</f>
        <v>235</v>
      </c>
      <c r="Y5" s="152"/>
    </row>
    <row r="6" spans="1:27" ht="15" customHeight="1" thickTop="1" x14ac:dyDescent="0.25">
      <c r="A6" s="142" t="s">
        <v>28</v>
      </c>
      <c r="B6" s="153">
        <f>B4-3</f>
        <v>15</v>
      </c>
      <c r="C6" s="136">
        <f>MOD('New RPD &amp; RPB'!E$6-B6,360)</f>
        <v>273</v>
      </c>
      <c r="D6" s="10">
        <f>$D$31*$D$30/($D$30-D$4+$B6)</f>
        <v>0.65</v>
      </c>
      <c r="E6" s="11">
        <f>IF('New RPD &amp; RPB'!$H$8&gt;0,90,270)+(D$4+$B6)/2*$W$31</f>
        <v>287.47890954106384</v>
      </c>
      <c r="F6" s="82">
        <f>$D$31*$D$30/($D$30-F$4+$B6)</f>
        <v>0.68</v>
      </c>
      <c r="G6" s="92">
        <f>IF('New RPD &amp; RPB'!$H$8&gt;0,90,270)+(F$4+$B6)/2*$W$31</f>
        <v>285.73101858695742</v>
      </c>
      <c r="H6" s="10">
        <f>$D$31*$D$30/($D$30-H$4+$B6)</f>
        <v>0.71290322580645171</v>
      </c>
      <c r="I6" s="11">
        <f>IF('New RPD &amp; RPB'!$H$8&gt;0,90,270)+(H$4+$B6)/2*$W$31</f>
        <v>283.98312763285105</v>
      </c>
      <c r="J6" s="82">
        <f>$D$31*$D$30/($D$30-J$4+$B6)</f>
        <v>0.74915254237288142</v>
      </c>
      <c r="K6" s="92">
        <f>IF('New RPD &amp; RPB'!$H$8&gt;0,90,270)+(J$4+$B6)/2*$W$31</f>
        <v>282.23523667874468</v>
      </c>
      <c r="L6" s="10">
        <f>$D$31*$D$30/($D$30-L$4+$B6)</f>
        <v>0.78928571428571437</v>
      </c>
      <c r="M6" s="11">
        <f>IF('New RPD &amp; RPB'!$H$8&gt;0,90,270)+(L$4+$B6)/2*$W$31</f>
        <v>280.48734572463832</v>
      </c>
      <c r="N6" s="82">
        <f>$D$31*$D$30/($D$30-N$4+$B6)</f>
        <v>0.83396226415094343</v>
      </c>
      <c r="O6" s="92">
        <f>IF('New RPD &amp; RPB'!$H$8&gt;0,90,270)+(N$4+$B6)/2*$W$31</f>
        <v>278.73945477053189</v>
      </c>
      <c r="P6" s="10">
        <f>$D$31*$D$30/($D$30-P$4+$B6)</f>
        <v>0.88400000000000001</v>
      </c>
      <c r="Q6" s="11">
        <f>IF('New RPD &amp; RPB'!$H$8&gt;0,90,270)+(P$4+$B6)/2*$W$31</f>
        <v>276.99156381642553</v>
      </c>
      <c r="R6" s="82">
        <f>$D$31*$D$30/($D$30-R$4+$B6)</f>
        <v>0.94042553191489364</v>
      </c>
      <c r="S6" s="92">
        <f>IF('New RPD &amp; RPB'!$H$8&gt;0,90,270)+(R$4+$B6)/2*$W$31</f>
        <v>275.24367286231916</v>
      </c>
      <c r="T6" s="10">
        <f>$D$31*$D$30/($D$30-T$4+$B6)</f>
        <v>1.0045454545454546</v>
      </c>
      <c r="U6" s="11">
        <f>IF('New RPD &amp; RPB'!$H$8&gt;0,90,270)+(T$4+$B6)/2*$W$31</f>
        <v>273.49578190821279</v>
      </c>
      <c r="V6" s="82">
        <f>$D$31*$D$30/($D$30-V$4+$B6)</f>
        <v>1.0780487804878049</v>
      </c>
      <c r="W6" s="92">
        <f>IF('New RPD &amp; RPB'!$H$8&gt;0,90,270)+(V$4+$B6)/2*$W$31</f>
        <v>271.74789095410637</v>
      </c>
      <c r="X6" s="10">
        <f>$D$31*$D$30/($D$30-X$4+$B6)</f>
        <v>1.1631578947368422</v>
      </c>
      <c r="Y6" s="11">
        <f>IF('New RPD &amp; RPB'!$H$8&gt;0,90,270)+(X$4+$B6)/2*$W$31</f>
        <v>270</v>
      </c>
    </row>
    <row r="7" spans="1:27" ht="15" customHeight="1" thickBot="1" x14ac:dyDescent="0.3">
      <c r="A7" s="142"/>
      <c r="B7" s="149"/>
      <c r="C7" s="137"/>
      <c r="D7" s="12">
        <f>SQRT(POWER($F$30-($F$31+SIN(RADIANS(E6+$E$30-$B6))*D6),2)+POWER($G$30-($G$31+COS(RADIANS(E6+$E$30-$B6))*D6),2))</f>
        <v>0.9023895928675838</v>
      </c>
      <c r="E7" s="13">
        <f>MOD(DEGREES(ATAN2($G$30-($G$31+COS(RADIANS(E6+$E$30-$B6))*D6),$F$30-($F$31+SIN(RADIANS(E6+$E$30-$B6))*D6))),360)</f>
        <v>300.33335282401293</v>
      </c>
      <c r="F7" s="87">
        <f>SQRT(POWER($F$30-($F$31+SIN(RADIANS(G6+$E$30-$B6))*F6),2)+POWER($G$30-($G$31+COS(RADIANS(G6+$E$30-$B6))*F6),2))</f>
        <v>0.9282606870394392</v>
      </c>
      <c r="G7" s="93">
        <f>MOD(DEGREES(ATAN2($G$30-($G$31+COS(RADIANS(G6+$E$30-$B6))*F6),$F$30-($F$31+SIN(RADIANS(G6+$E$30-$B6))*F6))),360)</f>
        <v>301.91960299752833</v>
      </c>
      <c r="H7" s="12">
        <f>SQRT(POWER($F$30-($F$31+SIN(RADIANS(I6+$E$30-$B6))*H6),2)+POWER($G$30-($G$31+COS(RADIANS(I6+$E$30-$B6))*H6),2))</f>
        <v>0.95723721851428167</v>
      </c>
      <c r="I7" s="13">
        <f>MOD(DEGREES(ATAN2($G$30-($G$31+COS(RADIANS(I6+$E$30-$B6))*H6),$F$30-($F$31+SIN(RADIANS(I6+$E$30-$B6))*H6))),360)</f>
        <v>303.52101469853892</v>
      </c>
      <c r="J7" s="87">
        <f>SQRT(POWER($F$30-($F$31+SIN(RADIANS(K6+$E$30-$B6))*J6),2)+POWER($G$30-($G$31+COS(RADIANS(K6+$E$30-$B6))*J6),2))</f>
        <v>0.98975512771862839</v>
      </c>
      <c r="K7" s="93">
        <f>MOD(DEGREES(ATAN2($G$30-($G$31+COS(RADIANS(K6+$E$30-$B6))*J6),$F$30-($F$31+SIN(RADIANS(K6+$E$30-$B6))*J6))),360)</f>
        <v>305.13697787016775</v>
      </c>
      <c r="L7" s="12">
        <f>SQRT(POWER($F$30-($F$31+SIN(RADIANS(M6+$E$30-$B6))*L6),2)+POWER($G$30-($G$31+COS(RADIANS(M6+$E$30-$B6))*L6),2))</f>
        <v>1.026343901359942</v>
      </c>
      <c r="M7" s="13">
        <f>MOD(DEGREES(ATAN2($G$30-($G$31+COS(RADIANS(M6+$E$30-$B6))*L6),$F$30-($F$31+SIN(RADIANS(M6+$E$30-$B6))*L6))),360)</f>
        <v>306.76705921441282</v>
      </c>
      <c r="N7" s="87">
        <f>SQRT(POWER($F$30-($F$31+SIN(RADIANS(O6+$E$30-$B6))*N6),2)+POWER($G$30-($G$31+COS(RADIANS(O6+$E$30-$B6))*N6),2))</f>
        <v>1.0676534144128209</v>
      </c>
      <c r="O7" s="93">
        <f>MOD(DEGREES(ATAN2($G$30-($G$31+COS(RADIANS(O6+$E$30-$B6))*N6),$F$30-($F$31+SIN(RADIANS(O6+$E$30-$B6))*N6))),360)</f>
        <v>308.41102142714294</v>
      </c>
      <c r="P7" s="12">
        <f>SQRT(POWER($F$30-($F$31+SIN(RADIANS(Q6+$E$30-$B6))*P6),2)+POWER($G$30-($G$31+COS(RADIANS(Q6+$E$30-$B6))*P6),2))</f>
        <v>1.1144904456048683</v>
      </c>
      <c r="Q7" s="13">
        <f>MOD(DEGREES(ATAN2($G$30-($G$31+COS(RADIANS(Q6+$E$30-$B6))*P6),$F$30-($F$31+SIN(RADIANS(Q6+$E$30-$B6))*P6))),360)</f>
        <v>310.06884079080839</v>
      </c>
      <c r="R7" s="87">
        <f>SQRT(POWER($F$30-($F$31+SIN(RADIANS(S6+$E$30-$B6))*R6),2)+POWER($G$30-($G$31+COS(RADIANS(S6+$E$30-$B6))*R6),2))</f>
        <v>1.1678691856955377</v>
      </c>
      <c r="S7" s="93">
        <f>MOD(DEGREES(ATAN2($G$30-($G$31+COS(RADIANS(S6+$E$30-$B6))*R6),$F$30-($F$31+SIN(RADIANS(S6+$E$30-$B6))*R6))),360)</f>
        <v>311.74072293171037</v>
      </c>
      <c r="T7" s="12">
        <f>SQRT(POWER($F$30-($F$31+SIN(RADIANS(U6+$E$30-$B6))*T6),2)+POWER($G$30-($G$31+COS(RADIANS(U6+$E$30-$B6))*T6),2))</f>
        <v>1.2290824142649071</v>
      </c>
      <c r="U7" s="13">
        <f>MOD(DEGREES(ATAN2($G$30-($G$31+COS(RADIANS(U6+$E$30-$B6))*T6),$F$30-($F$31+SIN(RADIANS(U6+$E$30-$B6))*T6))),360)</f>
        <v>313.42711658524786</v>
      </c>
      <c r="V7" s="87">
        <f>SQRT(POWER($F$30-($F$31+SIN(RADIANS(W6+$E$30-$B6))*V6),2)+POWER($G$30-($G$31+COS(RADIANS(W6+$E$30-$B6))*V6),2))</f>
        <v>1.2998039290337695</v>
      </c>
      <c r="W7" s="93">
        <f>MOD(DEGREES(ATAN2($G$30-($G$31+COS(RADIANS(W6+$E$30-$B6))*V6),$F$30-($F$31+SIN(RADIANS(W6+$E$30-$B6))*V6))),360)</f>
        <v>315.12872523954076</v>
      </c>
      <c r="X7" s="12">
        <f>SQRT(POWER($F$30-($F$31+SIN(RADIANS(Y6+$E$30-$B6))*X6),2)+POWER($G$30-($G$31+COS(RADIANS(Y6+$E$30-$B6))*X6),2))</f>
        <v>1.382239497050431</v>
      </c>
      <c r="Y7" s="13">
        <f>MOD(DEGREES(ATAN2($G$30-($G$31+COS(RADIANS(Y6+$E$30-$B6))*X6),$F$30-($F$31+SIN(RADIANS(Y6+$E$30-$B6))*X6))),360)</f>
        <v>316.84651654111616</v>
      </c>
    </row>
    <row r="8" spans="1:27" ht="15" customHeight="1" thickTop="1" x14ac:dyDescent="0.25">
      <c r="A8" s="142"/>
      <c r="B8" s="153">
        <f>B6-3</f>
        <v>12</v>
      </c>
      <c r="C8" s="136">
        <f>MOD('New RPD &amp; RPB'!E$6-B8,360)</f>
        <v>276</v>
      </c>
      <c r="D8" s="10">
        <f>$D$31*$D$30/($D$30-D$4+$B8)</f>
        <v>0.62253521126760569</v>
      </c>
      <c r="E8" s="95">
        <f>IF('New RPD &amp; RPB'!$H$8&gt;0,90,270)+(D$4+$B8)/2*$W$31</f>
        <v>285.73101858695742</v>
      </c>
      <c r="F8" s="79">
        <f>$D$31*$D$30/($D$30-F$4+$B8)</f>
        <v>0.65</v>
      </c>
      <c r="G8" s="94">
        <f>IF('New RPD &amp; RPB'!$H$8&gt;0,90,270)+(F$4+$B8)/2*$W$31</f>
        <v>283.98312763285105</v>
      </c>
      <c r="H8" s="10">
        <f>$D$31*$D$30/($D$30-H$4+$B8)</f>
        <v>0.68</v>
      </c>
      <c r="I8" s="95">
        <f>IF('New RPD &amp; RPB'!$H$8&gt;0,90,270)+(H$4+$B8)/2*$W$31</f>
        <v>282.23523667874468</v>
      </c>
      <c r="J8" s="79">
        <f>$D$31*$D$30/($D$30-J$4+$B8)</f>
        <v>0.71290322580645171</v>
      </c>
      <c r="K8" s="94">
        <f>IF('New RPD &amp; RPB'!$H$8&gt;0,90,270)+(J$4+$B8)/2*$W$31</f>
        <v>280.48734572463832</v>
      </c>
      <c r="L8" s="10">
        <f>$D$31*$D$30/($D$30-L$4+$B8)</f>
        <v>0.74915254237288142</v>
      </c>
      <c r="M8" s="95">
        <f>IF('New RPD &amp; RPB'!$H$8&gt;0,90,270)+(L$4+$B8)/2*$W$31</f>
        <v>278.73945477053189</v>
      </c>
      <c r="N8" s="79">
        <f>$D$31*$D$30/($D$30-N$4+$B8)</f>
        <v>0.78928571428571437</v>
      </c>
      <c r="O8" s="94">
        <f>IF('New RPD &amp; RPB'!$H$8&gt;0,90,270)+(N$4+$B8)/2*$W$31</f>
        <v>276.99156381642553</v>
      </c>
      <c r="P8" s="10">
        <f>$D$31*$D$30/($D$30-P$4+$B8)</f>
        <v>0.83396226415094343</v>
      </c>
      <c r="Q8" s="95">
        <f>IF('New RPD &amp; RPB'!$H$8&gt;0,90,270)+(P$4+$B8)/2*$W$31</f>
        <v>275.24367286231916</v>
      </c>
      <c r="R8" s="79">
        <f>$D$31*$D$30/($D$30-R$4+$B8)</f>
        <v>0.88400000000000001</v>
      </c>
      <c r="S8" s="94">
        <f>IF('New RPD &amp; RPB'!$H$8&gt;0,90,270)+(R$4+$B8)/2*$W$31</f>
        <v>273.49578190821279</v>
      </c>
      <c r="T8" s="10">
        <f>$D$31*$D$30/($D$30-T$4+$B8)</f>
        <v>0.94042553191489364</v>
      </c>
      <c r="U8" s="95">
        <f>IF('New RPD &amp; RPB'!$H$8&gt;0,90,270)+(T$4+$B8)/2*$W$31</f>
        <v>271.74789095410637</v>
      </c>
      <c r="V8" s="79">
        <f>$D$31*$D$30/($D$30-V$4+$B8)</f>
        <v>1.0045454545454546</v>
      </c>
      <c r="W8" s="94">
        <f>IF('New RPD &amp; RPB'!$H$8&gt;0,90,270)+(V$4+$B8)/2*$W$31</f>
        <v>270</v>
      </c>
      <c r="X8" s="10">
        <f>$D$31*$D$30/($D$30-X$4+$B8)</f>
        <v>1.0780487804878049</v>
      </c>
      <c r="Y8" s="95">
        <f>IF('New RPD &amp; RPB'!$H$8&gt;0,90,270)+(X$4+$B8)/2*$W$31</f>
        <v>268.25210904589363</v>
      </c>
    </row>
    <row r="9" spans="1:27" ht="15" customHeight="1" thickBot="1" x14ac:dyDescent="0.3">
      <c r="A9" s="142"/>
      <c r="B9" s="149"/>
      <c r="C9" s="137"/>
      <c r="D9" s="96">
        <f>SQRT(POWER($F$30-($F$31+SIN(RADIANS(E8+$E$30-$B8))*D8),2)+POWER($G$30-($G$31+COS(RADIANS(E8+$E$30-$B8))*D8),2))</f>
        <v>0.88461082335583663</v>
      </c>
      <c r="E9" s="97">
        <f>MOD(DEGREES(ATAN2($G$30-($G$31+COS(RADIANS(E8+$E$30-$B8))*D8),$F$30-($F$31+SIN(RADIANS(E8+$E$30-$B8))*D8))),360)</f>
        <v>298.72181521827218</v>
      </c>
      <c r="F9" s="17">
        <f>SQRT(POWER($F$30-($F$31+SIN(RADIANS(G8+$E$30-$B8))*F8),2)+POWER($G$30-($G$31+COS(RADIANS(G8+$E$30-$B8))*F8),2))</f>
        <v>0.90792737739073592</v>
      </c>
      <c r="G9" s="14">
        <f>MOD(DEGREES(ATAN2($G$30-($G$31+COS(RADIANS(G8+$E$30-$B8))*F8),$F$30-($F$31+SIN(RADIANS(G8+$E$30-$B8))*F8))),360)</f>
        <v>300.27109439444723</v>
      </c>
      <c r="H9" s="96">
        <f>SQRT(POWER($F$30-($F$31+SIN(RADIANS(I8+$E$30-$B8))*H8),2)+POWER($G$30-($G$31+COS(RADIANS(I8+$E$30-$B8))*H8),2))</f>
        <v>0.93398467050814071</v>
      </c>
      <c r="I9" s="97">
        <f>MOD(DEGREES(ATAN2($G$30-($G$31+COS(RADIANS(I8+$E$30-$B8))*H8),$F$30-($F$31+SIN(RADIANS(I8+$E$30-$B8))*H8))),360)</f>
        <v>301.83572783922625</v>
      </c>
      <c r="J9" s="17">
        <f>SQRT(POWER($F$30-($F$31+SIN(RADIANS(K8+$E$30-$B8))*J8),2)+POWER($G$30-($G$31+COS(RADIANS(K8+$E$30-$B8))*J8),2))</f>
        <v>0.96314477446686375</v>
      </c>
      <c r="K9" s="14">
        <f>MOD(DEGREES(ATAN2($G$30-($G$31+COS(RADIANS(K8+$E$30-$B8))*J8),$F$30-($F$31+SIN(RADIANS(K8+$E$30-$B8))*J8))),360)</f>
        <v>303.41503638992754</v>
      </c>
      <c r="L9" s="96">
        <f>SQRT(POWER($F$30-($F$31+SIN(RADIANS(M8+$E$30-$B8))*L8),2)+POWER($G$30-($G$31+COS(RADIANS(M8+$E$30-$B8))*L8),2))</f>
        <v>0.99584329952491946</v>
      </c>
      <c r="M9" s="97">
        <f>MOD(DEGREES(ATAN2($G$30-($G$31+COS(RADIANS(M8+$E$30-$B8))*L8),$F$30-($F$31+SIN(RADIANS(M8+$E$30-$B8))*L8))),360)</f>
        <v>305.00850122517704</v>
      </c>
      <c r="N9" s="17">
        <f>SQRT(POWER($F$30-($F$31+SIN(RADIANS(O8+$E$30-$B8))*N8),2)+POWER($G$30-($G$31+COS(RADIANS(O8+$E$30-$B8))*N8),2))</f>
        <v>1.0326094228233325</v>
      </c>
      <c r="O9" s="14">
        <f>MOD(DEGREES(ATAN2($G$30-($G$31+COS(RADIANS(O8+$E$30-$B8))*N8),$F$30-($F$31+SIN(RADIANS(O8+$E$30-$B8))*N8))),360)</f>
        <v>306.61578372636313</v>
      </c>
      <c r="P9" s="96">
        <f>SQRT(POWER($F$30-($F$31+SIN(RADIANS(Q8+$E$30-$B8))*P8),2)+POWER($G$30-($G$31+COS(RADIANS(Q8+$E$30-$B8))*P8),2))</f>
        <v>1.0740927304470913</v>
      </c>
      <c r="Q9" s="97">
        <f>MOD(DEGREES(ATAN2($G$30-($G$31+COS(RADIANS(Q8+$E$30-$B8))*P8),$F$30-($F$31+SIN(RADIANS(Q8+$E$30-$B8))*P8))),360)</f>
        <v>308.2367440095926</v>
      </c>
      <c r="R9" s="17">
        <f>SQRT(POWER($F$30-($F$31+SIN(RADIANS(S8+$E$30-$B8))*R8),2)+POWER($G$30-($G$31+COS(RADIANS(S8+$E$30-$B8))*R8),2))</f>
        <v>1.1210997321704539</v>
      </c>
      <c r="S9" s="14">
        <f>MOD(DEGREES(ATAN2($G$30-($G$31+COS(RADIANS(S8+$E$30-$B8))*R8),$F$30-($F$31+SIN(RADIANS(S8+$E$30-$B8))*R8))),360)</f>
        <v>309.87145792820382</v>
      </c>
      <c r="T9" s="96">
        <f>SQRT(POWER($F$30-($F$31+SIN(RADIANS(U8+$E$30-$B8))*T8),2)+POWER($G$30-($G$31+COS(RADIANS(U8+$E$30-$B8))*T8),2))</f>
        <v>1.1746443681579215</v>
      </c>
      <c r="U9" s="97">
        <f>MOD(DEGREES(ATAN2($G$30-($G$31+COS(RADIANS(U8+$E$30-$B8))*T8),$F$30-($F$31+SIN(RADIANS(U8+$E$30-$B8))*T8))),360)</f>
        <v>311.52023238413744</v>
      </c>
      <c r="V9" s="17">
        <f>SQRT(POWER($F$30-($F$31+SIN(RADIANS(W8+$E$30-$B8))*V8),2)+POWER($G$30-($G$31+COS(RADIANS(W8+$E$30-$B8))*V8),2))</f>
        <v>1.2360191833292766</v>
      </c>
      <c r="W9" s="14">
        <f>MOD(DEGREES(ATAN2($G$30-($G$31+COS(RADIANS(W8+$E$30-$B8))*V8),$F$30-($F$31+SIN(RADIANS(W8+$E$30-$B8))*V8))),360)</f>
        <v>313.18361881838854</v>
      </c>
      <c r="X9" s="96">
        <f>SQRT(POWER($F$30-($F$31+SIN(RADIANS(Y8+$E$30-$B8))*X8),2)+POWER($G$30-($G$31+COS(RADIANS(Y8+$E$30-$B8))*X8),2))</f>
        <v>1.3068977534124497</v>
      </c>
      <c r="Y9" s="97">
        <f>MOD(DEGREES(ATAN2($G$30-($G$31+COS(RADIANS(Y8+$E$30-$B8))*X8),$F$30-($F$31+SIN(RADIANS(Y8+$E$30-$B8))*X8))),360)</f>
        <v>314.86242477233299</v>
      </c>
    </row>
    <row r="10" spans="1:27" ht="15" customHeight="1" thickTop="1" x14ac:dyDescent="0.25">
      <c r="A10" s="142"/>
      <c r="B10" s="153">
        <f>B8-3</f>
        <v>9</v>
      </c>
      <c r="C10" s="136">
        <f>MOD('New RPD &amp; RPB'!E$6-B10,360)</f>
        <v>279</v>
      </c>
      <c r="D10" s="10">
        <f>$D$31*$D$30/($D$30-D$4+$B10)</f>
        <v>0.5972972972972973</v>
      </c>
      <c r="E10" s="11">
        <f>IF('New RPD &amp; RPB'!$H$8&gt;0,90,270)+(D$4+$B10)/2*$W$31</f>
        <v>283.98312763285105</v>
      </c>
      <c r="F10" s="82">
        <f>$D$31*$D$30/($D$30-F$4+$B10)</f>
        <v>0.62253521126760569</v>
      </c>
      <c r="G10" s="92">
        <f>IF('New RPD &amp; RPB'!$H$8&gt;0,90,270)+(F$4+$B10)/2*$W$31</f>
        <v>282.23523667874468</v>
      </c>
      <c r="H10" s="10">
        <f>$D$31*$D$30/($D$30-H$4+$B10)</f>
        <v>0.65</v>
      </c>
      <c r="I10" s="11">
        <f>IF('New RPD &amp; RPB'!$H$8&gt;0,90,270)+(H$4+$B10)/2*$W$31</f>
        <v>280.48734572463832</v>
      </c>
      <c r="J10" s="82">
        <f>$D$31*$D$30/($D$30-J$4+$B10)</f>
        <v>0.68</v>
      </c>
      <c r="K10" s="92">
        <f>IF('New RPD &amp; RPB'!$H$8&gt;0,90,270)+(J$4+$B10)/2*$W$31</f>
        <v>278.73945477053189</v>
      </c>
      <c r="L10" s="10">
        <f>$D$31*$D$30/($D$30-L$4+$B10)</f>
        <v>0.71290322580645171</v>
      </c>
      <c r="M10" s="11">
        <f>IF('New RPD &amp; RPB'!$H$8&gt;0,90,270)+(L$4+$B10)/2*$W$31</f>
        <v>276.99156381642553</v>
      </c>
      <c r="N10" s="82">
        <f>$D$31*$D$30/($D$30-N$4+$B10)</f>
        <v>0.74915254237288142</v>
      </c>
      <c r="O10" s="92">
        <f>IF('New RPD &amp; RPB'!$H$8&gt;0,90,270)+(N$4+$B10)/2*$W$31</f>
        <v>275.24367286231916</v>
      </c>
      <c r="P10" s="10">
        <f>$D$31*$D$30/($D$30-P$4+$B10)</f>
        <v>0.78928571428571437</v>
      </c>
      <c r="Q10" s="11">
        <f>IF('New RPD &amp; RPB'!$H$8&gt;0,90,270)+(P$4+$B10)/2*$W$31</f>
        <v>273.49578190821279</v>
      </c>
      <c r="R10" s="82">
        <f>$D$31*$D$30/($D$30-R$4+$B10)</f>
        <v>0.83396226415094343</v>
      </c>
      <c r="S10" s="92">
        <f>IF('New RPD &amp; RPB'!$H$8&gt;0,90,270)+(R$4+$B10)/2*$W$31</f>
        <v>271.74789095410637</v>
      </c>
      <c r="T10" s="10">
        <f>$D$31*$D$30/($D$30-T$4+$B10)</f>
        <v>0.88400000000000001</v>
      </c>
      <c r="U10" s="11">
        <f>IF('New RPD &amp; RPB'!$H$8&gt;0,90,270)+(T$4+$B10)/2*$W$31</f>
        <v>270</v>
      </c>
      <c r="V10" s="82">
        <f>$D$31*$D$30/($D$30-V$4+$B10)</f>
        <v>0.94042553191489364</v>
      </c>
      <c r="W10" s="92">
        <f>IF('New RPD &amp; RPB'!$H$8&gt;0,90,270)+(V$4+$B10)/2*$W$31</f>
        <v>268.25210904589363</v>
      </c>
      <c r="X10" s="10">
        <f>$D$31*$D$30/($D$30-X$4+$B10)</f>
        <v>1.0045454545454546</v>
      </c>
      <c r="Y10" s="11">
        <f>IF('New RPD &amp; RPB'!$H$8&gt;0,90,270)+(X$4+$B10)/2*$W$31</f>
        <v>266.50421809178721</v>
      </c>
    </row>
    <row r="11" spans="1:27" ht="15" customHeight="1" thickBot="1" x14ac:dyDescent="0.3">
      <c r="A11" s="142"/>
      <c r="B11" s="149"/>
      <c r="C11" s="137"/>
      <c r="D11" s="12">
        <f>SQRT(POWER($F$30-($F$31+SIN(RADIANS(E10+$E$30-$B10))*D10),2)+POWER($G$30-($G$31+COS(RADIANS(E10+$E$30-$B10))*D10),2))</f>
        <v>0.86888749019726574</v>
      </c>
      <c r="E11" s="13">
        <f>MOD(DEGREES(ATAN2($G$30-($G$31+COS(RADIANS(E10+$E$30-$B10))*D10),$F$30-($F$31+SIN(RADIANS(E10+$E$30-$B10))*D10))),360)</f>
        <v>297.16518600577695</v>
      </c>
      <c r="F11" s="87">
        <f>SQRT(POWER($F$30-($F$31+SIN(RADIANS(G10+$E$30-$B10))*F10),2)+POWER($G$30-($G$31+COS(RADIANS(G10+$E$30-$B10))*F10),2))</f>
        <v>0.88995494557648214</v>
      </c>
      <c r="G11" s="93">
        <f>MOD(DEGREES(ATAN2($G$30-($G$31+COS(RADIANS(G10+$E$30-$B10))*F10),$F$30-($F$31+SIN(RADIANS(G10+$E$30-$B10))*F10))),360)</f>
        <v>298.67811671988721</v>
      </c>
      <c r="H11" s="12">
        <f>SQRT(POWER($F$30-($F$31+SIN(RADIANS(I10+$E$30-$B10))*H10),2)+POWER($G$30-($G$31+COS(RADIANS(I10+$E$30-$B10))*H10),2))</f>
        <v>0.91345758164243007</v>
      </c>
      <c r="I11" s="13">
        <f>MOD(DEGREES(ATAN2($G$30-($G$31+COS(RADIANS(I10+$E$30-$B10))*H10),$F$30-($F$31+SIN(RADIANS(I10+$E$30-$B10))*H10))),360)</f>
        <v>300.20658672441539</v>
      </c>
      <c r="J11" s="87">
        <f>SQRT(POWER($F$30-($F$31+SIN(RADIANS(K10+$E$30-$B10))*J10),2)+POWER($G$30-($G$31+COS(RADIANS(K10+$E$30-$B10))*J10),2))</f>
        <v>0.93969873140468463</v>
      </c>
      <c r="K11" s="93">
        <f>MOD(DEGREES(ATAN2($G$30-($G$31+COS(RADIANS(K10+$E$30-$B10))*J10),$F$30-($F$31+SIN(RADIANS(K10+$E$30-$B10))*J10))),360)</f>
        <v>301.74985626982181</v>
      </c>
      <c r="L11" s="12">
        <f>SQRT(POWER($F$30-($F$31+SIN(RADIANS(M10+$E$30-$B10))*L10),2)+POWER($G$30-($G$31+COS(RADIANS(M10+$E$30-$B10))*L10),2))</f>
        <v>0.96904013825819313</v>
      </c>
      <c r="M11" s="13">
        <f>MOD(DEGREES(ATAN2($G$30-($G$31+COS(RADIANS(M10+$E$30-$B10))*L10),$F$30-($F$31+SIN(RADIANS(M10+$E$30-$B10))*L10))),360)</f>
        <v>303.30732958023333</v>
      </c>
      <c r="N11" s="87">
        <f>SQRT(POWER($F$30-($F$31+SIN(RADIANS(O10+$E$30-$B10))*N10),2)+POWER($G$30-($G$31+COS(RADIANS(O10+$E$30-$B10))*N10),2))</f>
        <v>1.00191710363044</v>
      </c>
      <c r="O11" s="93">
        <f>MOD(DEGREES(ATAN2($G$30-($G$31+COS(RADIANS(O10+$E$30-$B10))*N10),$F$30-($F$31+SIN(RADIANS(O10+$E$30-$B10))*N10))),360)</f>
        <v>304.87857504308352</v>
      </c>
      <c r="P11" s="12">
        <f>SQRT(POWER($F$30-($F$31+SIN(RADIANS(Q10+$E$30-$B10))*P10),2)+POWER($G$30-($G$31+COS(RADIANS(Q10+$E$30-$B10))*P10),2))</f>
        <v>1.0388585159878387</v>
      </c>
      <c r="Q11" s="13">
        <f>MOD(DEGREES(ATAN2($G$30-($G$31+COS(RADIANS(Q10+$E$30-$B10))*P10),$F$30-($F$31+SIN(RADIANS(Q10+$E$30-$B10))*P10))),360)</f>
        <v>306.46334435850537</v>
      </c>
      <c r="R11" s="87">
        <f>SQRT(POWER($F$30-($F$31+SIN(RADIANS(S10+$E$30-$B10))*R10),2)+POWER($G$30-($G$31+COS(RADIANS(S10+$E$30-$B10))*R10),2))</f>
        <v>1.0805136927693912</v>
      </c>
      <c r="S11" s="93">
        <f>MOD(DEGREES(ATAN2($G$30-($G$31+COS(RADIANS(S10+$E$30-$B10))*R10),$F$30-($F$31+SIN(RADIANS(S10+$E$30-$B10))*R10))),360)</f>
        <v>308.06159044295788</v>
      </c>
      <c r="T11" s="12">
        <f>SQRT(POWER($F$30-($F$31+SIN(RADIANS(U10+$E$30-$B10))*T10),2)+POWER($G$30-($G$31+COS(RADIANS(U10+$E$30-$B10))*T10),2))</f>
        <v>1.127688894221168</v>
      </c>
      <c r="U11" s="13">
        <f>MOD(DEGREES(ATAN2($G$30-($G$31+COS(RADIANS(U10+$E$30-$B10))*T10),$F$30-($F$31+SIN(RADIANS(U10+$E$30-$B10))*T10))),360)</f>
        <v>309.67348391974019</v>
      </c>
      <c r="V11" s="87">
        <f>SQRT(POWER($F$30-($F$31+SIN(RADIANS(W10+$E$30-$B10))*V10),2)+POWER($G$30-($G$31+COS(RADIANS(W10+$E$30-$B10))*V10),2))</f>
        <v>1.181397828382323</v>
      </c>
      <c r="W11" s="93">
        <f>MOD(DEGREES(ATAN2($G$30-($G$31+COS(RADIANS(W10+$E$30-$B10))*V10),$F$30-($F$31+SIN(RADIANS(W10+$E$30-$B10))*V10))),360)</f>
        <v>311.29942806390619</v>
      </c>
      <c r="X11" s="12">
        <f>SQRT(POWER($F$30-($F$31+SIN(RADIANS(Y10+$E$30-$B10))*X10),2)+POWER($G$30-($G$31+COS(RADIANS(Y10+$E$30-$B10))*X10),2))</f>
        <v>1.2429328229213428</v>
      </c>
      <c r="Y11" s="13">
        <f>MOD(DEGREES(ATAN2($G$30-($G$31+COS(RADIANS(Y10+$E$30-$B10))*X10),$F$30-($F$31+SIN(RADIANS(Y10+$E$30-$B10))*X10))),360)</f>
        <v>312.94007209680069</v>
      </c>
    </row>
    <row r="12" spans="1:27" ht="15" customHeight="1" thickTop="1" x14ac:dyDescent="0.25">
      <c r="A12" s="142"/>
      <c r="B12" s="153">
        <f>B10-3</f>
        <v>6</v>
      </c>
      <c r="C12" s="136">
        <f>MOD('New RPD &amp; RPB'!E$6-B12,360)</f>
        <v>282</v>
      </c>
      <c r="D12" s="10">
        <f>$D$31*$D$30/($D$30-D$4+$B12)</f>
        <v>0.57402597402597411</v>
      </c>
      <c r="E12" s="95">
        <f>IF('New RPD &amp; RPB'!$H$8&gt;0,90,270)+(D$4+$B12)/2*$W$31</f>
        <v>282.23523667874468</v>
      </c>
      <c r="F12" s="79">
        <f>$D$31*$D$30/($D$30-F$4+$B12)</f>
        <v>0.5972972972972973</v>
      </c>
      <c r="G12" s="94">
        <f>IF('New RPD &amp; RPB'!$H$8&gt;0,90,270)+(F$4+$B12)/2*$W$31</f>
        <v>280.48734572463832</v>
      </c>
      <c r="H12" s="10">
        <f>$D$31*$D$30/($D$30-H$4+$B12)</f>
        <v>0.62253521126760569</v>
      </c>
      <c r="I12" s="95">
        <f>IF('New RPD &amp; RPB'!$H$8&gt;0,90,270)+(H$4+$B12)/2*$W$31</f>
        <v>278.73945477053189</v>
      </c>
      <c r="J12" s="79">
        <f>$D$31*$D$30/($D$30-J$4+$B12)</f>
        <v>0.65</v>
      </c>
      <c r="K12" s="94">
        <f>IF('New RPD &amp; RPB'!$H$8&gt;0,90,270)+(J$4+$B12)/2*$W$31</f>
        <v>276.99156381642553</v>
      </c>
      <c r="L12" s="10">
        <f>$D$31*$D$30/($D$30-L$4+$B12)</f>
        <v>0.68</v>
      </c>
      <c r="M12" s="95">
        <f>IF('New RPD &amp; RPB'!$H$8&gt;0,90,270)+(L$4+$B12)/2*$W$31</f>
        <v>275.24367286231916</v>
      </c>
      <c r="N12" s="79">
        <f>$D$31*$D$30/($D$30-N$4+$B12)</f>
        <v>0.71290322580645171</v>
      </c>
      <c r="O12" s="94">
        <f>IF('New RPD &amp; RPB'!$H$8&gt;0,90,270)+(N$4+$B12)/2*$W$31</f>
        <v>273.49578190821279</v>
      </c>
      <c r="P12" s="10">
        <f>$D$31*$D$30/($D$30-P$4+$B12)</f>
        <v>0.74915254237288142</v>
      </c>
      <c r="Q12" s="95">
        <f>IF('New RPD &amp; RPB'!$H$8&gt;0,90,270)+(P$4+$B12)/2*$W$31</f>
        <v>271.74789095410637</v>
      </c>
      <c r="R12" s="79">
        <f>$D$31*$D$30/($D$30-R$4+$B12)</f>
        <v>0.78928571428571437</v>
      </c>
      <c r="S12" s="94">
        <f>IF('New RPD &amp; RPB'!$H$8&gt;0,90,270)+(R$4+$B12)/2*$W$31</f>
        <v>270</v>
      </c>
      <c r="T12" s="10">
        <f>$D$31*$D$30/($D$30-T$4+$B12)</f>
        <v>0.83396226415094343</v>
      </c>
      <c r="U12" s="95">
        <f>IF('New RPD &amp; RPB'!$H$8&gt;0,90,270)+(T$4+$B12)/2*$W$31</f>
        <v>268.25210904589363</v>
      </c>
      <c r="V12" s="79">
        <f>$D$31*$D$30/($D$30-V$4+$B12)</f>
        <v>0.88400000000000001</v>
      </c>
      <c r="W12" s="94">
        <f>IF('New RPD &amp; RPB'!$H$8&gt;0,90,270)+(V$4+$B12)/2*$W$31</f>
        <v>266.50421809178721</v>
      </c>
      <c r="X12" s="10">
        <f>$D$31*$D$30/($D$30-X$4+$B12)</f>
        <v>0.94042553191489364</v>
      </c>
      <c r="Y12" s="95">
        <f>IF('New RPD &amp; RPB'!$H$8&gt;0,90,270)+(X$4+$B12)/2*$W$31</f>
        <v>264.75632713768084</v>
      </c>
    </row>
    <row r="13" spans="1:27" ht="15" customHeight="1" thickBot="1" x14ac:dyDescent="0.3">
      <c r="A13" s="142"/>
      <c r="B13" s="149"/>
      <c r="C13" s="137"/>
      <c r="D13" s="96">
        <f>SQRT(POWER($F$30-($F$31+SIN(RADIANS(E12+$E$30-$B12))*D12),2)+POWER($G$30-($G$31+COS(RADIANS(E12+$E$30-$B12))*D12),2))</f>
        <v>0.85496468666146763</v>
      </c>
      <c r="E13" s="97">
        <f>MOD(DEGREES(ATAN2($G$30-($G$31+COS(RADIANS(E12+$E$30-$B12))*D12),$F$30-($F$31+SIN(RADIANS(E12+$E$30-$B12))*D12))),360)</f>
        <v>295.66177029622946</v>
      </c>
      <c r="F13" s="17">
        <f>SQRT(POWER($F$30-($F$31+SIN(RADIANS(G12+$E$30-$B12))*F12),2)+POWER($G$30-($G$31+COS(RADIANS(G12+$E$30-$B12))*F12),2))</f>
        <v>0.87404055412074</v>
      </c>
      <c r="G13" s="14">
        <f>MOD(DEGREES(ATAN2($G$30-($G$31+COS(RADIANS(G12+$E$30-$B12))*F12),$F$30-($F$31+SIN(RADIANS(G12+$E$30-$B12))*F12))),360)</f>
        <v>297.13901673371731</v>
      </c>
      <c r="H13" s="96">
        <f>SQRT(POWER($F$30-($F$31+SIN(RADIANS(I12+$E$30-$B12))*H12),2)+POWER($G$30-($G$31+COS(RADIANS(I12+$E$30-$B12))*H12),2))</f>
        <v>0.89529357730863324</v>
      </c>
      <c r="I13" s="97">
        <f>MOD(DEGREES(ATAN2($G$30-($G$31+COS(RADIANS(I12+$E$30-$B12))*H12),$F$30-($F$31+SIN(RADIANS(I12+$E$30-$B12))*H12))),360)</f>
        <v>298.63198176167589</v>
      </c>
      <c r="J13" s="17">
        <f>SQRT(POWER($F$30-($F$31+SIN(RADIANS(K12+$E$30-$B12))*J12),2)+POWER($G$30-($G$31+COS(RADIANS(K12+$E$30-$B12))*J12),2))</f>
        <v>0.91897993213494933</v>
      </c>
      <c r="K13" s="14">
        <f>MOD(DEGREES(ATAN2($G$30-($G$31+COS(RADIANS(K12+$E$30-$B12))*J12),$F$30-($F$31+SIN(RADIANS(K12+$E$30-$B12))*J12))),360)</f>
        <v>300.13987349960229</v>
      </c>
      <c r="L13" s="96">
        <f>SQRT(POWER($F$30-($F$31+SIN(RADIANS(M12+$E$30-$B12))*L12),2)+POWER($G$30-($G$31+COS(RADIANS(M12+$E$30-$B12))*L12),2))</f>
        <v>0.94540262568396971</v>
      </c>
      <c r="M13" s="97">
        <f>MOD(DEGREES(ATAN2($G$30-($G$31+COS(RADIANS(M12+$E$30-$B12))*L12),$F$30-($F$31+SIN(RADIANS(M12+$E$30-$B12))*L12))),360)</f>
        <v>301.66202793103275</v>
      </c>
      <c r="N13" s="17">
        <f>SQRT(POWER($F$30-($F$31+SIN(RADIANS(O12+$E$30-$B12))*N12),2)+POWER($G$30-($G$31+COS(RADIANS(O12+$E$30-$B12))*N12),2))</f>
        <v>0.97492309365279328</v>
      </c>
      <c r="O13" s="14">
        <f>MOD(DEGREES(ATAN2($G$30-($G$31+COS(RADIANS(O12+$E$30-$B12))*N12),$F$30-($F$31+SIN(RADIANS(O12+$E$30-$B12))*N12))),360)</f>
        <v>303.19792916327555</v>
      </c>
      <c r="P13" s="96">
        <f>SQRT(POWER($F$30-($F$31+SIN(RADIANS(Q12+$E$30-$B12))*P12),2)+POWER($G$30-($G$31+COS(RADIANS(Q12+$E$30-$B12))*P12),2))</f>
        <v>1.0079763490948135</v>
      </c>
      <c r="Q13" s="97">
        <f>MOD(DEGREES(ATAN2($G$30-($G$31+COS(RADIANS(Q12+$E$30-$B12))*P12),$F$30-($F$31+SIN(RADIANS(Q12+$E$30-$B12))*P12))),360)</f>
        <v>304.74722891258187</v>
      </c>
      <c r="R13" s="17">
        <f>SQRT(POWER($F$30-($F$31+SIN(RADIANS(S12+$E$30-$B12))*R12),2)+POWER($G$30-($G$31+COS(RADIANS(S12+$E$30-$B12))*R12),2))</f>
        <v>1.045091011843289</v>
      </c>
      <c r="S13" s="14">
        <f>MOD(DEGREES(ATAN2($G$30-($G$31+COS(RADIANS(S12+$E$30-$B12))*R12),$F$30-($F$31+SIN(RADIANS(S12+$E$30-$B12))*R12))),360)</f>
        <v>306.30976500519188</v>
      </c>
      <c r="T13" s="96">
        <f>SQRT(POWER($F$30-($F$31+SIN(RADIANS(U12+$E$30-$B12))*T12),2)+POWER($G$30-($G$31+COS(RADIANS(U12+$E$30-$B12))*T12),2))</f>
        <v>1.0869161501399329</v>
      </c>
      <c r="U13" s="97">
        <f>MOD(DEGREES(ATAN2($G$30-($G$31+COS(RADIANS(U12+$E$30-$B12))*T12),$F$30-($F$31+SIN(RADIANS(U12+$E$30-$B12))*T12))),360)</f>
        <v>307.88557872131366</v>
      </c>
      <c r="V13" s="17">
        <f>SQRT(POWER($F$30-($F$31+SIN(RADIANS(W12+$E$30-$B12))*V12),2)+POWER($G$30-($G$31+COS(RADIANS(W12+$E$30-$B12))*V12),2))</f>
        <v>1.1342577934113662</v>
      </c>
      <c r="W13" s="14">
        <f>MOD(DEGREES(ATAN2($G$30-($G$31+COS(RADIANS(W12+$E$30-$B12))*V12),$F$30-($F$31+SIN(RADIANS(W12+$E$30-$B12))*V12))),360)</f>
        <v>309.4749308450406</v>
      </c>
      <c r="X13" s="96">
        <f>SQRT(POWER($F$30-($F$31+SIN(RADIANS(Y12+$E$30-$B12))*X12),2)+POWER($G$30-($G$31+COS(RADIANS(Y12+$E$30-$B12))*X12),2))</f>
        <v>1.188129435424367</v>
      </c>
      <c r="Y13" s="97">
        <f>MOD(DEGREES(ATAN2($G$30-($G$31+COS(RADIANS(Y12+$E$30-$B12))*X12),$F$30-($F$31+SIN(RADIANS(Y12+$E$30-$B12))*X12))),360)</f>
        <v>311.07831631495907</v>
      </c>
    </row>
    <row r="14" spans="1:27" ht="15" customHeight="1" thickTop="1" x14ac:dyDescent="0.25">
      <c r="A14" s="142"/>
      <c r="B14" s="153">
        <f>B12-3</f>
        <v>3</v>
      </c>
      <c r="C14" s="136">
        <f>MOD('New RPD &amp; RPB'!E$6-B14,360)</f>
        <v>285</v>
      </c>
      <c r="D14" s="10">
        <f>$D$31*$D$30/($D$30-D$4+$B14)</f>
        <v>0.55249999999999999</v>
      </c>
      <c r="E14" s="11">
        <f>IF('New RPD &amp; RPB'!$H$8&gt;0,90,270)+(D$4+$B14)/2*$W$31</f>
        <v>280.48734572463832</v>
      </c>
      <c r="F14" s="82">
        <f>$D$31*$D$30/($D$30-F$4+$B14)</f>
        <v>0.57402597402597411</v>
      </c>
      <c r="G14" s="92">
        <f>IF('New RPD &amp; RPB'!$H$8&gt;0,90,270)+(F$4+$B14)/2*$W$31</f>
        <v>278.73945477053189</v>
      </c>
      <c r="H14" s="10">
        <f>$D$31*$D$30/($D$30-H$4+$B14)</f>
        <v>0.5972972972972973</v>
      </c>
      <c r="I14" s="11">
        <f>IF('New RPD &amp; RPB'!$H$8&gt;0,90,270)+(H$4+$B14)/2*$W$31</f>
        <v>276.99156381642553</v>
      </c>
      <c r="J14" s="82">
        <f>$D$31*$D$30/($D$30-J$4+$B14)</f>
        <v>0.62253521126760569</v>
      </c>
      <c r="K14" s="92">
        <f>IF('New RPD &amp; RPB'!$H$8&gt;0,90,270)+(J$4+$B14)/2*$W$31</f>
        <v>275.24367286231916</v>
      </c>
      <c r="L14" s="10">
        <f>$D$31*$D$30/($D$30-L$4+$B14)</f>
        <v>0.65</v>
      </c>
      <c r="M14" s="11">
        <f>IF('New RPD &amp; RPB'!$H$8&gt;0,90,270)+(L$4+$B14)/2*$W$31</f>
        <v>273.49578190821279</v>
      </c>
      <c r="N14" s="82">
        <f>$D$31*$D$30/($D$30-N$4+$B14)</f>
        <v>0.68</v>
      </c>
      <c r="O14" s="92">
        <f>IF('New RPD &amp; RPB'!$H$8&gt;0,90,270)+(N$4+$B14)/2*$W$31</f>
        <v>271.74789095410637</v>
      </c>
      <c r="P14" s="10">
        <f>$D$31*$D$30/($D$30-P$4+$B14)</f>
        <v>0.71290322580645171</v>
      </c>
      <c r="Q14" s="11">
        <f>IF('New RPD &amp; RPB'!$H$8&gt;0,90,270)+(P$4+$B14)/2*$W$31</f>
        <v>270</v>
      </c>
      <c r="R14" s="82">
        <f>$D$31*$D$30/($D$30-R$4+$B14)</f>
        <v>0.74915254237288142</v>
      </c>
      <c r="S14" s="92">
        <f>IF('New RPD &amp; RPB'!$H$8&gt;0,90,270)+(R$4+$B14)/2*$W$31</f>
        <v>268.25210904589363</v>
      </c>
      <c r="T14" s="10">
        <f>$D$31*$D$30/($D$30-T$4+$B14)</f>
        <v>0.78928571428571437</v>
      </c>
      <c r="U14" s="11">
        <f>IF('New RPD &amp; RPB'!$H$8&gt;0,90,270)+(T$4+$B14)/2*$W$31</f>
        <v>266.50421809178721</v>
      </c>
      <c r="V14" s="82">
        <f>$D$31*$D$30/($D$30-V$4+$B14)</f>
        <v>0.83396226415094343</v>
      </c>
      <c r="W14" s="92">
        <f>IF('New RPD &amp; RPB'!$H$8&gt;0,90,270)+(V$4+$B14)/2*$W$31</f>
        <v>264.75632713768084</v>
      </c>
      <c r="X14" s="10">
        <f>$D$31*$D$30/($D$30-X$4+$B14)</f>
        <v>0.88400000000000001</v>
      </c>
      <c r="Y14" s="11">
        <f>IF('New RPD &amp; RPB'!$H$8&gt;0,90,270)+(X$4+$B14)/2*$W$31</f>
        <v>263.00843618357447</v>
      </c>
    </row>
    <row r="15" spans="1:27" ht="15.75" customHeight="1" thickBot="1" x14ac:dyDescent="0.3">
      <c r="A15" s="142"/>
      <c r="B15" s="149"/>
      <c r="C15" s="137"/>
      <c r="D15" s="12">
        <f>SQRT(POWER($F$30-($F$31+SIN(RADIANS(E14+$E$30-$B14))*D14),2)+POWER($G$30-($G$31+COS(RADIANS(E14+$E$30-$B14))*D14),2))</f>
        <v>0.84262673200723337</v>
      </c>
      <c r="E15" s="13">
        <f>MOD(DEGREES(ATAN2($G$30-($G$31+COS(RADIANS(E14+$E$30-$B14))*D14),$F$30-($F$31+SIN(RADIANS(E14+$E$30-$B14))*D14))),360)</f>
        <v>294.20984430671638</v>
      </c>
      <c r="F15" s="87">
        <f>SQRT(POWER($F$30-($F$31+SIN(RADIANS(G14+$E$30-$B14))*F14),2)+POWER($G$30-($G$31+COS(RADIANS(G14+$E$30-$B14))*F14),2))</f>
        <v>0.85992962456104693</v>
      </c>
      <c r="G15" s="93">
        <f>MOD(DEGREES(ATAN2($G$30-($G$31+COS(RADIANS(G14+$E$30-$B14))*F14),$F$30-($F$31+SIN(RADIANS(G14+$E$30-$B14))*F14))),360)</f>
        <v>295.65210001529402</v>
      </c>
      <c r="H15" s="12">
        <f>SQRT(POWER($F$30-($F$31+SIN(RADIANS(I14+$E$30-$B14))*H14),2)+POWER($G$30-($G$31+COS(RADIANS(I14+$E$30-$B14))*H14),2))</f>
        <v>0.87919019261344367</v>
      </c>
      <c r="I15" s="13">
        <f>MOD(DEGREES(ATAN2($G$30-($G$31+COS(RADIANS(I14+$E$30-$B14))*H14),$F$30-($F$31+SIN(RADIANS(I14+$E$30-$B14))*H14))),360)</f>
        <v>297.11024922554031</v>
      </c>
      <c r="J15" s="87">
        <f>SQRT(POWER($F$30-($F$31+SIN(RADIANS(K14+$E$30-$B14))*J14),2)+POWER($G$30-($G$31+COS(RADIANS(K14+$E$30-$B14))*J14),2))</f>
        <v>0.90062642001478266</v>
      </c>
      <c r="K15" s="93">
        <f>MOD(DEGREES(ATAN2($G$30-($G$31+COS(RADIANS(K14+$E$30-$B14))*J14),$F$30-($F$31+SIN(RADIANS(K14+$E$30-$B14))*J14))),360)</f>
        <v>298.58345619771887</v>
      </c>
      <c r="L15" s="12">
        <f>SQRT(POWER($F$30-($F$31+SIN(RADIANS(M14+$E$30-$B14))*L14),2)+POWER($G$30-($G$31+COS(RADIANS(M14+$E$30-$B14))*L14),2))</f>
        <v>0.92449415982717797</v>
      </c>
      <c r="M15" s="13">
        <f>MOD(DEGREES(ATAN2($G$30-($G$31+COS(RADIANS(M14+$E$30-$B14))*L14),$F$30-($F$31+SIN(RADIANS(M14+$E$30-$B14))*L14))),360)</f>
        <v>300.07099737446231</v>
      </c>
      <c r="N15" s="87">
        <f>SQRT(POWER($F$30-($F$31+SIN(RADIANS(O14+$E$30-$B14))*N14),2)+POWER($G$30-($G$31+COS(RADIANS(O14+$E$30-$B14))*N14),2))</f>
        <v>0.95109611302063801</v>
      </c>
      <c r="O15" s="93">
        <f>MOD(DEGREES(ATAN2($G$30-($G$31+COS(RADIANS(O14+$E$30-$B14))*N14),$F$30-($F$31+SIN(RADIANS(O14+$E$30-$B14))*N14))),360)</f>
        <v>301.57228149022956</v>
      </c>
      <c r="P15" s="12">
        <f>SQRT(POWER($F$30-($F$31+SIN(RADIANS(Q14+$E$30-$B14))*P14),2)+POWER($G$30-($G$31+COS(RADIANS(Q14+$E$30-$B14))*P14),2))</f>
        <v>0.98079342740800712</v>
      </c>
      <c r="Q15" s="13">
        <f>MOD(DEGREES(ATAN2($G$30-($G$31+COS(RADIANS(Q14+$E$30-$B14))*P14),$F$30-($F$31+SIN(RADIANS(Q14+$E$30-$B14))*P14))),360)</f>
        <v>303.08686914869463</v>
      </c>
      <c r="R15" s="87">
        <f>SQRT(POWER($F$30-($F$31+SIN(RADIANS(S14+$E$30-$B14))*R14),2)+POWER($G$30-($G$31+COS(RADIANS(S14+$E$30-$B14))*R14),2))</f>
        <v>1.014020847279439</v>
      </c>
      <c r="S15" s="93">
        <f>MOD(DEGREES(ATAN2($G$30-($G$31+COS(RADIANS(S14+$E$30-$B14))*R14),$F$30-($F$31+SIN(RADIANS(S14+$E$30-$B14))*R14))),360)</f>
        <v>304.61449165626345</v>
      </c>
      <c r="T15" s="12">
        <f>SQRT(POWER($F$30-($F$31+SIN(RADIANS(U14+$E$30-$B14))*T14),2)+POWER($G$30-($G$31+COS(RADIANS(U14+$E$30-$B14))*T14),2))</f>
        <v>1.051306743060662</v>
      </c>
      <c r="U15" s="13">
        <f>MOD(DEGREES(ATAN2($G$30-($G$31+COS(RADIANS(U14+$E$30-$B14))*T14),$F$30-($F$31+SIN(RADIANS(U14+$E$30-$B14))*T14))),360)</f>
        <v>306.15506893378301</v>
      </c>
      <c r="V15" s="87">
        <f>SQRT(POWER($F$30-($F$31+SIN(RADIANS(W14+$E$30-$B14))*V14),2)+POWER($G$30-($G$31+COS(RADIANS(W14+$E$30-$B14))*V14),2))</f>
        <v>1.0932999524810154</v>
      </c>
      <c r="W15" s="93">
        <f>MOD(DEGREES(ATAN2($G$30-($G$31+COS(RADIANS(W14+$E$30-$B14))*V14),$F$30-($F$31+SIN(RADIANS(W14+$E$30-$B14))*V14))),360)</f>
        <v>307.70872636393563</v>
      </c>
      <c r="X15" s="12">
        <f>SQRT(POWER($F$30-($F$31+SIN(RADIANS(Y14+$E$30-$B14))*X14),2)+POWER($G$30-($G$31+COS(RADIANS(Y14+$E$30-$B14))*X14),2))</f>
        <v>1.1408062921659095</v>
      </c>
      <c r="Y15" s="13">
        <f>MOD(DEGREES(ATAN2($G$30-($G$31+COS(RADIANS(Y14+$E$30-$B14))*X14),$F$30-($F$31+SIN(RADIANS(Y14+$E$30-$B14))*X14))),360)</f>
        <v>309.27581046565535</v>
      </c>
    </row>
    <row r="16" spans="1:27" ht="15.75" customHeight="1" thickTop="1" x14ac:dyDescent="0.25">
      <c r="A16" s="142"/>
      <c r="B16" s="153">
        <f>B14-3</f>
        <v>0</v>
      </c>
      <c r="C16" s="136">
        <f>MOD('New RPD &amp; RPB'!E$6-B16,360)</f>
        <v>288</v>
      </c>
      <c r="D16" s="10">
        <f>$D$31*$D$30/($D$30-D$4+$B16)</f>
        <v>0.53253012048192772</v>
      </c>
      <c r="E16" s="95">
        <f>IF('New RPD &amp; RPB'!$H$8&gt;0,90,270)+(D$4+$B16)/2*$W$31</f>
        <v>278.73945477053189</v>
      </c>
      <c r="F16" s="79">
        <f>$D$31*$D$30/($D$30-F$4+$B16)</f>
        <v>0.55249999999999999</v>
      </c>
      <c r="G16" s="94">
        <f>IF('New RPD &amp; RPB'!$H$8&gt;0,90,270)+(F$4+$B16)/2*$W$31</f>
        <v>276.99156381642553</v>
      </c>
      <c r="H16" s="10">
        <f>$D$31*$D$30/($D$30-H$4+$B16)</f>
        <v>0.57402597402597411</v>
      </c>
      <c r="I16" s="95">
        <f>IF('New RPD &amp; RPB'!$H$8&gt;0,90,270)+(H$4+$B16)/2*$W$31</f>
        <v>275.24367286231916</v>
      </c>
      <c r="J16" s="79">
        <f>$D$31*$D$30/($D$30-J$4+$B16)</f>
        <v>0.5972972972972973</v>
      </c>
      <c r="K16" s="94">
        <f>IF('New RPD &amp; RPB'!$H$8&gt;0,90,270)+(J$4+$B16)/2*$W$31</f>
        <v>273.49578190821279</v>
      </c>
      <c r="L16" s="10">
        <f>$D$31*$D$30/($D$30-L$4+$B16)</f>
        <v>0.62253521126760569</v>
      </c>
      <c r="M16" s="95">
        <f>IF('New RPD &amp; RPB'!$H$8&gt;0,90,270)+(L$4+$B16)/2*$W$31</f>
        <v>271.74789095410637</v>
      </c>
      <c r="N16" s="79">
        <f>$D$31*$D$30/($D$30-N$4+$B16)</f>
        <v>0.65</v>
      </c>
      <c r="O16" s="94">
        <f>IF('New RPD &amp; RPB'!$H$8&gt;0,90,270)+(N$4+$B16)/2*$W$31</f>
        <v>270</v>
      </c>
      <c r="P16" s="10">
        <f>$D$31*$D$30/($D$30-P$4+$B16)</f>
        <v>0.68</v>
      </c>
      <c r="Q16" s="95">
        <f>IF('New RPD &amp; RPB'!$H$8&gt;0,90,270)+(P$4+$B16)/2*$W$31</f>
        <v>268.25210904589363</v>
      </c>
      <c r="R16" s="79">
        <f>$D$31*$D$30/($D$30-R$4+$B16)</f>
        <v>0.71290322580645171</v>
      </c>
      <c r="S16" s="94">
        <f>IF('New RPD &amp; RPB'!$H$8&gt;0,90,270)+(R$4+$B16)/2*$W$31</f>
        <v>266.50421809178721</v>
      </c>
      <c r="T16" s="10">
        <f>$D$31*$D$30/($D$30-T$4+$B16)</f>
        <v>0.74915254237288142</v>
      </c>
      <c r="U16" s="95">
        <f>IF('New RPD &amp; RPB'!$H$8&gt;0,90,270)+(T$4+$B16)/2*$W$31</f>
        <v>264.75632713768084</v>
      </c>
      <c r="V16" s="79">
        <f>$D$31*$D$30/($D$30-V$4+$B16)</f>
        <v>0.78928571428571437</v>
      </c>
      <c r="W16" s="94">
        <f>IF('New RPD &amp; RPB'!$H$8&gt;0,90,270)+(V$4+$B16)/2*$W$31</f>
        <v>263.00843618357447</v>
      </c>
      <c r="X16" s="10">
        <f>$D$31*$D$30/($D$30-X$4+$B16)</f>
        <v>0.83396226415094343</v>
      </c>
      <c r="Y16" s="95">
        <f>IF('New RPD &amp; RPB'!$H$8&gt;0,90,270)+(X$4+$B16)/2*$W$31</f>
        <v>261.26054522946811</v>
      </c>
    </row>
    <row r="17" spans="1:25" ht="15.75" customHeight="1" thickBot="1" x14ac:dyDescent="0.3">
      <c r="A17" s="142"/>
      <c r="B17" s="149"/>
      <c r="C17" s="137"/>
      <c r="D17" s="96">
        <f>SQRT(POWER($F$30-($F$31+SIN(RADIANS(E16+$E$30-$B16))*D16),2)+POWER($G$30-($G$31+COS(RADIANS(E16+$E$30-$B16))*D16),2))</f>
        <v>0.83169003982150258</v>
      </c>
      <c r="E17" s="97">
        <f>MOD(DEGREES(ATAN2($G$30-($G$31+COS(RADIANS(E16+$E$30-$B16))*D16),$F$30-($F$31+SIN(RADIANS(E16+$E$30-$B16))*D16))),360)</f>
        <v>292.80767513318381</v>
      </c>
      <c r="F17" s="17">
        <f>SQRT(POWER($F$30-($F$31+SIN(RADIANS(G16+$E$30-$B16))*F16),2)+POWER($G$30-($G$31+COS(RADIANS(G16+$E$30-$B16))*F16),2))</f>
        <v>0.84740674678739802</v>
      </c>
      <c r="G17" s="14">
        <f>MOD(DEGREES(ATAN2($G$30-($G$31+COS(RADIANS(G16+$E$30-$B16))*F16),$F$30-($F$31+SIN(RADIANS(G16+$E$30-$B16))*F16))),360)</f>
        <v>294.21565270818292</v>
      </c>
      <c r="H17" s="96">
        <f>SQRT(POWER($F$30-($F$31+SIN(RADIANS(I16+$E$30-$B16))*H16),2)+POWER($G$30-($G$31+COS(RADIANS(I16+$E$30-$B16))*H16),2))</f>
        <v>0.86489316042384257</v>
      </c>
      <c r="I17" s="97">
        <f>MOD(DEGREES(ATAN2($G$30-($G$31+COS(RADIANS(I16+$E$30-$B16))*H16),$F$30-($F$31+SIN(RADIANS(I16+$E$30-$B16))*H16))),360)</f>
        <v>295.63969508318263</v>
      </c>
      <c r="J17" s="17">
        <f>SQRT(POWER($F$30-($F$31+SIN(RADIANS(K16+$E$30-$B16))*J16),2)+POWER($G$30-($G$31+COS(RADIANS(K16+$E$30-$B16))*J16),2))</f>
        <v>0.88433608330618552</v>
      </c>
      <c r="K17" s="14">
        <f>MOD(DEGREES(ATAN2($G$30-($G$31+COS(RADIANS(K16+$E$30-$B16))*J16),$F$30-($F$31+SIN(RADIANS(K16+$E$30-$B16))*J16))),360)</f>
        <v>297.07893064805501</v>
      </c>
      <c r="L17" s="96">
        <f>SQRT(POWER($F$30-($F$31+SIN(RADIANS(M16+$E$30-$B16))*L16),2)+POWER($G$30-($G$31+COS(RADIANS(M16+$E$30-$B16))*L16),2))</f>
        <v>0.90595318015484061</v>
      </c>
      <c r="M17" s="97">
        <f>MOD(DEGREES(ATAN2($G$30-($G$31+COS(RADIANS(M16+$E$30-$B16))*L16),$F$30-($F$31+SIN(RADIANS(M16+$E$30-$B16))*L16))),360)</f>
        <v>298.53258485657068</v>
      </c>
      <c r="N17" s="17">
        <f>SQRT(POWER($F$30-($F$31+SIN(RADIANS(O16+$E$30-$B16))*N16),2)+POWER($G$30-($G$31+COS(RADIANS(O16+$E$30-$B16))*N16),2))</f>
        <v>0.93000000000000016</v>
      </c>
      <c r="O17" s="14">
        <f>MOD(DEGREES(ATAN2($G$30-($G$31+COS(RADIANS(O16+$E$30-$B16))*N16),$F$30-($F$31+SIN(RADIANS(O16+$E$30-$B16))*N16))),360)</f>
        <v>300</v>
      </c>
      <c r="P17" s="96">
        <f>SQRT(POWER($F$30-($F$31+SIN(RADIANS(Q16+$E$30-$B16))*P16),2)+POWER($G$30-($G$31+COS(RADIANS(Q16+$E$30-$B16))*P16),2))</f>
        <v>0.95677895670386337</v>
      </c>
      <c r="Q17" s="97">
        <f>MOD(DEGREES(ATAN2($G$30-($G$31+COS(RADIANS(Q16+$E$30-$B16))*P16),$F$30-($F$31+SIN(RADIANS(Q16+$E$30-$B16))*P16))),360)</f>
        <v>301.48065466858463</v>
      </c>
      <c r="R17" s="17">
        <f>SQRT(POWER($F$30-($F$31+SIN(RADIANS(S16+$E$30-$B16))*R16),2)+POWER($G$30-($G$31+COS(RADIANS(S16+$E$30-$B16))*R16),2))</f>
        <v>0.98665092919019304</v>
      </c>
      <c r="S17" s="14">
        <f>MOD(DEGREES(ATAN2($G$30-($G$31+COS(RADIANS(S16+$E$30-$B16))*R16),$F$30-($F$31+SIN(RADIANS(S16+$E$30-$B16))*R16))),360)</f>
        <v>302.97418268882871</v>
      </c>
      <c r="T17" s="96">
        <f>SQRT(POWER($F$30-($F$31+SIN(RADIANS(U16+$E$30-$B16))*T16),2)+POWER($G$30-($G$31+COS(RADIANS(U16+$E$30-$B16))*T16),2))</f>
        <v>1.0200504117855029</v>
      </c>
      <c r="U17" s="97">
        <f>MOD(DEGREES(ATAN2($G$30-($G$31+COS(RADIANS(U16+$E$30-$B16))*T16),$F$30-($F$31+SIN(RADIANS(U16+$E$30-$B16))*T16))),360)</f>
        <v>304.48039135475727</v>
      </c>
      <c r="V17" s="17">
        <f>SQRT(POWER($F$30-($F$31+SIN(RADIANS(W16+$E$30-$B16))*V16),2)+POWER($G$30-($G$31+COS(RADIANS(W16+$E$30-$B16))*V16),2))</f>
        <v>1.0575055439505971</v>
      </c>
      <c r="W17" s="14">
        <f>MOD(DEGREES(ATAN2($G$30-($G$31+COS(RADIANS(W16+$E$30-$B16))*V16),$F$30-($F$31+SIN(RADIANS(W16+$E$30-$B16))*V16))),360)</f>
        <v>305.99927880487957</v>
      </c>
      <c r="X17" s="96">
        <f>SQRT(POWER($F$30-($F$31+SIN(RADIANS(Y16+$E$30-$B16))*X16),2)+POWER($G$30-($G$31+COS(RADIANS(Y16+$E$30-$B16))*X16),2))</f>
        <v>1.0996649508532073</v>
      </c>
      <c r="Y17" s="97">
        <f>MOD(DEGREES(ATAN2($G$30-($G$31+COS(RADIANS(Y16+$E$30-$B16))*X16),$F$30-($F$31+SIN(RADIANS(Y16+$E$30-$B16))*X16))),360)</f>
        <v>307.53105043082388</v>
      </c>
    </row>
    <row r="18" spans="1:25" ht="15.75" customHeight="1" thickTop="1" x14ac:dyDescent="0.25">
      <c r="A18" s="142"/>
      <c r="B18" s="153">
        <f>B16-3</f>
        <v>-3</v>
      </c>
      <c r="C18" s="136">
        <f>MOD('New RPD &amp; RPB'!E$6-B18,360)</f>
        <v>291</v>
      </c>
      <c r="D18" s="88">
        <f>$D$31*$D$30/($D$30-D$4+$B18)</f>
        <v>0.51395348837209309</v>
      </c>
      <c r="E18" s="98">
        <f>IF('New RPD &amp; RPB'!$H$8&gt;0,90,270)+(D$4+$B18)/2*$W$31</f>
        <v>276.99156381642553</v>
      </c>
      <c r="F18" s="82">
        <f>$D$31*$D$30/($D$30-F$4+$B18)</f>
        <v>0.53253012048192772</v>
      </c>
      <c r="G18" s="92">
        <f>IF('New RPD &amp; RPB'!$H$8&gt;0,90,270)+(F$4+$B18)/2*$W$31</f>
        <v>275.24367286231916</v>
      </c>
      <c r="H18" s="88">
        <f>$D$31*$D$30/($D$30-H$4+$B18)</f>
        <v>0.55249999999999999</v>
      </c>
      <c r="I18" s="98">
        <f>IF('New RPD &amp; RPB'!$H$8&gt;0,90,270)+(H$4+$B18)/2*$W$31</f>
        <v>273.49578190821279</v>
      </c>
      <c r="J18" s="82">
        <f>$D$31*$D$30/($D$30-J$4+$B18)</f>
        <v>0.57402597402597411</v>
      </c>
      <c r="K18" s="92">
        <f>IF('New RPD &amp; RPB'!$H$8&gt;0,90,270)+(J$4+$B18)/2*$W$31</f>
        <v>271.74789095410637</v>
      </c>
      <c r="L18" s="88">
        <f>$D$31*$D$30/($D$30-L$4+$B18)</f>
        <v>0.5972972972972973</v>
      </c>
      <c r="M18" s="98">
        <f>IF('New RPD &amp; RPB'!$H$8&gt;0,90,270)+(L$4+$B18)/2*$W$31</f>
        <v>270</v>
      </c>
      <c r="N18" s="82">
        <f>$D$31*$D$30/($D$30-N$4+$B18)</f>
        <v>0.62253521126760569</v>
      </c>
      <c r="O18" s="92">
        <f>IF('New RPD &amp; RPB'!$H$8&gt;0,90,270)+(N$4+$B18)/2*$W$31</f>
        <v>268.25210904589363</v>
      </c>
      <c r="P18" s="88">
        <f>$D$31*$D$30/($D$30-P$4+$B18)</f>
        <v>0.65</v>
      </c>
      <c r="Q18" s="98">
        <f>IF('New RPD &amp; RPB'!$H$8&gt;0,90,270)+(P$4+$B18)/2*$W$31</f>
        <v>266.50421809178721</v>
      </c>
      <c r="R18" s="82">
        <f>$D$31*$D$30/($D$30-R$4+$B18)</f>
        <v>0.68</v>
      </c>
      <c r="S18" s="92">
        <f>IF('New RPD &amp; RPB'!$H$8&gt;0,90,270)+(R$4+$B18)/2*$W$31</f>
        <v>264.75632713768084</v>
      </c>
      <c r="T18" s="88">
        <f>$D$31*$D$30/($D$30-T$4+$B18)</f>
        <v>0.71290322580645171</v>
      </c>
      <c r="U18" s="98">
        <f>IF('New RPD &amp; RPB'!$H$8&gt;0,90,270)+(T$4+$B18)/2*$W$31</f>
        <v>263.00843618357447</v>
      </c>
      <c r="V18" s="82">
        <f>$D$31*$D$30/($D$30-V$4+$B18)</f>
        <v>0.74915254237288142</v>
      </c>
      <c r="W18" s="92">
        <f>IF('New RPD &amp; RPB'!$H$8&gt;0,90,270)+(V$4+$B18)/2*$W$31</f>
        <v>261.26054522946811</v>
      </c>
      <c r="X18" s="88">
        <f>$D$31*$D$30/($D$30-X$4+$B18)</f>
        <v>0.78928571428571437</v>
      </c>
      <c r="Y18" s="98">
        <f>IF('New RPD &amp; RPB'!$H$8&gt;0,90,270)+(X$4+$B18)/2*$W$31</f>
        <v>259.51265427536168</v>
      </c>
    </row>
    <row r="19" spans="1:25" ht="15" customHeight="1" thickBot="1" x14ac:dyDescent="0.3">
      <c r="A19" s="142"/>
      <c r="B19" s="149"/>
      <c r="C19" s="137"/>
      <c r="D19" s="99">
        <f>SQRT(POWER($F$30-($F$31+SIN(RADIANS(E18+$E$30-$B18))*D18),2)+POWER($G$30-($G$31+COS(RADIANS(E18+$E$30-$B18))*D18),2))</f>
        <v>0.82199747417194369</v>
      </c>
      <c r="E19" s="100">
        <f>MOD(DEGREES(ATAN2($G$30-($G$31+COS(RADIANS(E18+$E$30-$B18))*D18),$F$30-($F$31+SIN(RADIANS(E18+$E$30-$B18))*D18))),360)</f>
        <v>291.45353698736506</v>
      </c>
      <c r="F19" s="87">
        <f>SQRT(POWER($F$30-($F$31+SIN(RADIANS(G18+$E$30-$B18))*F18),2)+POWER($G$30-($G$31+COS(RADIANS(G18+$E$30-$B18))*F18),2))</f>
        <v>0.83628855382967759</v>
      </c>
      <c r="G19" s="93">
        <f>MOD(DEGREES(ATAN2($G$30-($G$31+COS(RADIANS(G18+$E$30-$B18))*F18),$F$30-($F$31+SIN(RADIANS(G18+$E$30-$B18))*F18))),360)</f>
        <v>292.82795952314075</v>
      </c>
      <c r="H19" s="99">
        <f>SQRT(POWER($F$30-($F$31+SIN(RADIANS(I18+$E$30-$B18))*H18),2)+POWER($G$30-($G$31+COS(RADIANS(I18+$E$30-$B18))*H18),2))</f>
        <v>0.85218732723450497</v>
      </c>
      <c r="I19" s="100">
        <f>MOD(DEGREES(ATAN2($G$30-($G$31+COS(RADIANS(I18+$E$30-$B18))*H18),$F$30-($F$31+SIN(RADIANS(I18+$E$30-$B18))*H18))),360)</f>
        <v>294.2186148663921</v>
      </c>
      <c r="J19" s="87">
        <f>SQRT(POWER($F$30-($F$31+SIN(RADIANS(K18+$E$30-$B18))*J18),2)+POWER($G$30-($G$31+COS(RADIANS(K18+$E$30-$B18))*J18),2))</f>
        <v>0.86985494978912303</v>
      </c>
      <c r="K19" s="93">
        <f>MOD(DEGREES(ATAN2($G$30-($G$31+COS(RADIANS(K18+$E$30-$B18))*J18),$F$30-($F$31+SIN(RADIANS(K18+$E$30-$B18))*J18))),360)</f>
        <v>295.62460316481935</v>
      </c>
      <c r="L19" s="99">
        <f>SQRT(POWER($F$30-($F$31+SIN(RADIANS(M18+$E$30-$B18))*L18),2)+POWER($G$30-($G$31+COS(RADIANS(M18+$E$30-$B18))*L18),2))</f>
        <v>0.88947790929171078</v>
      </c>
      <c r="M19" s="100">
        <f>MOD(DEGREES(ATAN2($G$30-($G$31+COS(RADIANS(M18+$E$30-$B18))*L18),$F$30-($F$31+SIN(RADIANS(M18+$E$30-$B18))*L18))),360)</f>
        <v>297.04510717904219</v>
      </c>
      <c r="N19" s="87">
        <f>SQRT(POWER($F$30-($F$31+SIN(RADIANS(O18+$E$30-$B18))*N18),2)+POWER($G$30-($G$31+COS(RADIANS(O18+$E$30-$B18))*N18),2))</f>
        <v>0.91127356905026058</v>
      </c>
      <c r="O19" s="93">
        <f>MOD(DEGREES(ATAN2($G$30-($G$31+COS(RADIANS(O18+$E$30-$B18))*N18),$F$30-($F$31+SIN(RADIANS(O18+$E$30-$B18))*N18))),360)</f>
        <v>298.47941156639536</v>
      </c>
      <c r="P19" s="99">
        <f>SQRT(POWER($F$30-($F$31+SIN(RADIANS(Q18+$E$30-$B18))*P18),2)+POWER($G$30-($G$31+COS(RADIANS(Q18+$E$30-$B18))*P18),2))</f>
        <v>0.93549719213600357</v>
      </c>
      <c r="Q19" s="100">
        <f>MOD(DEGREES(ATAN2($G$30-($G$31+COS(RADIANS(Q18+$E$30-$B18))*P18),$F$30-($F$31+SIN(RADIANS(Q18+$E$30-$B18))*P18))),360)</f>
        <v>299.92692205077606</v>
      </c>
      <c r="R19" s="87">
        <f>SQRT(POWER($F$30-($F$31+SIN(RADIANS(S18+$E$30-$B18))*R18),2)+POWER($G$30-($G$31+COS(RADIANS(S18+$E$30-$B18))*R18),2))</f>
        <v>0.96245092353599548</v>
      </c>
      <c r="S19" s="93">
        <f>MOD(DEGREES(ATAN2($G$30-($G$31+COS(RADIANS(S18+$E$30-$B18))*R18),$F$30-($F$31+SIN(RADIANS(S18+$E$30-$B18))*R18))),360)</f>
        <v>301.38718426832924</v>
      </c>
      <c r="T19" s="99">
        <f>SQRT(POWER($F$30-($F$31+SIN(RADIANS(U18+$E$30-$B18))*T18),2)+POWER($G$30-($G$31+COS(RADIANS(U18+$E$30-$B18))*T18),2))</f>
        <v>0.99249539149416866</v>
      </c>
      <c r="U19" s="100">
        <f>MOD(DEGREES(ATAN2($G$30-($G$31+COS(RADIANS(U18+$E$30-$B18))*T18),$F$30-($F$31+SIN(RADIANS(U18+$E$30-$B18))*T18))),360)</f>
        <v>302.85990210466309</v>
      </c>
      <c r="V19" s="87">
        <f>SQRT(POWER($F$30-($F$31+SIN(RADIANS(W18+$E$30-$B18))*V18),2)+POWER($G$30-($G$31+COS(RADIANS(W18+$E$30-$B18))*V18),2))</f>
        <v>1.0260648583944354</v>
      </c>
      <c r="W19" s="93">
        <f>MOD(DEGREES(ATAN2($G$30-($G$31+COS(RADIANS(W18+$E$30-$B18))*V18),$F$30-($F$31+SIN(RADIANS(W18+$E$30-$B18))*V18))),360)</f>
        <v>304.34495536999111</v>
      </c>
      <c r="X19" s="99">
        <f>SQRT(POWER($F$30-($F$31+SIN(RADIANS(Y18+$E$30-$B18))*X18),2)+POWER($G$30-($G$31+COS(RADIANS(Y18+$E$30-$B18))*X18),2))</f>
        <v>1.0636872504235824</v>
      </c>
      <c r="Y19" s="100">
        <f>MOD(DEGREES(ATAN2($G$30-($G$31+COS(RADIANS(Y18+$E$30-$B18))*X18),$F$30-($F$31+SIN(RADIANS(Y18+$E$30-$B18))*X18))),360)</f>
        <v>305.84241669179164</v>
      </c>
    </row>
    <row r="20" spans="1:25" ht="15" customHeight="1" thickTop="1" x14ac:dyDescent="0.25">
      <c r="A20" s="142"/>
      <c r="B20" s="153">
        <f>B18-3</f>
        <v>-6</v>
      </c>
      <c r="C20" s="136">
        <f>MOD('New RPD &amp; RPB'!E$6-B20,360)</f>
        <v>294</v>
      </c>
      <c r="D20" s="10">
        <f>$D$31*$D$30/($D$30-D$4+$B20)</f>
        <v>0.49662921348314609</v>
      </c>
      <c r="E20" s="95">
        <f>IF('New RPD &amp; RPB'!$H$8&gt;0,90,270)+(D$4+$B20)/2*$W$31</f>
        <v>275.24367286231916</v>
      </c>
      <c r="F20" s="79">
        <f>$D$31*$D$30/($D$30-F$4+$B20)</f>
        <v>0.51395348837209309</v>
      </c>
      <c r="G20" s="94">
        <f>IF('New RPD &amp; RPB'!$H$8&gt;0,90,270)+(F$4+$B20)/2*$W$31</f>
        <v>273.49578190821279</v>
      </c>
      <c r="H20" s="10">
        <f>$D$31*$D$30/($D$30-H$4+$B20)</f>
        <v>0.53253012048192772</v>
      </c>
      <c r="I20" s="95">
        <f>IF('New RPD &amp; RPB'!$H$8&gt;0,90,270)+(H$4+$B20)/2*$W$31</f>
        <v>271.74789095410637</v>
      </c>
      <c r="J20" s="79">
        <f>$D$31*$D$30/($D$30-J$4+$B20)</f>
        <v>0.55249999999999999</v>
      </c>
      <c r="K20" s="94">
        <f>IF('New RPD &amp; RPB'!$H$8&gt;0,90,270)+(J$4+$B20)/2*$W$31</f>
        <v>270</v>
      </c>
      <c r="L20" s="10">
        <f>$D$31*$D$30/($D$30-L$4+$B20)</f>
        <v>0.57402597402597411</v>
      </c>
      <c r="M20" s="95">
        <f>IF('New RPD &amp; RPB'!$H$8&gt;0,90,270)+(L$4+$B20)/2*$W$31</f>
        <v>268.25210904589363</v>
      </c>
      <c r="N20" s="79">
        <f>$D$31*$D$30/($D$30-N$4+$B20)</f>
        <v>0.5972972972972973</v>
      </c>
      <c r="O20" s="94">
        <f>IF('New RPD &amp; RPB'!$H$8&gt;0,90,270)+(N$4+$B20)/2*$W$31</f>
        <v>266.50421809178721</v>
      </c>
      <c r="P20" s="10">
        <f>$D$31*$D$30/($D$30-P$4+$B20)</f>
        <v>0.62253521126760569</v>
      </c>
      <c r="Q20" s="95">
        <f>IF('New RPD &amp; RPB'!$H$8&gt;0,90,270)+(P$4+$B20)/2*$W$31</f>
        <v>264.75632713768084</v>
      </c>
      <c r="R20" s="79">
        <f>$D$31*$D$30/($D$30-R$4+$B20)</f>
        <v>0.65</v>
      </c>
      <c r="S20" s="94">
        <f>IF('New RPD &amp; RPB'!$H$8&gt;0,90,270)+(R$4+$B20)/2*$W$31</f>
        <v>263.00843618357447</v>
      </c>
      <c r="T20" s="10">
        <f>$D$31*$D$30/($D$30-T$4+$B20)</f>
        <v>0.68</v>
      </c>
      <c r="U20" s="95">
        <f>IF('New RPD &amp; RPB'!$H$8&gt;0,90,270)+(T$4+$B20)/2*$W$31</f>
        <v>261.26054522946811</v>
      </c>
      <c r="V20" s="79">
        <f>$D$31*$D$30/($D$30-V$4+$B20)</f>
        <v>0.71290322580645171</v>
      </c>
      <c r="W20" s="94">
        <f>IF('New RPD &amp; RPB'!$H$8&gt;0,90,270)+(V$4+$B20)/2*$W$31</f>
        <v>259.51265427536168</v>
      </c>
      <c r="X20" s="10">
        <f>$D$31*$D$30/($D$30-X$4+$B20)</f>
        <v>0.74915254237288142</v>
      </c>
      <c r="Y20" s="95">
        <f>IF('New RPD &amp; RPB'!$H$8&gt;0,90,270)+(X$4+$B20)/2*$W$31</f>
        <v>257.76476332125532</v>
      </c>
    </row>
    <row r="21" spans="1:25" ht="15" customHeight="1" thickBot="1" x14ac:dyDescent="0.3">
      <c r="A21" s="142"/>
      <c r="B21" s="149"/>
      <c r="C21" s="137"/>
      <c r="D21" s="96">
        <f>SQRT(POWER($F$30-($F$31+SIN(RADIANS(E20+$E$30-$B20))*D20),2)+POWER($G$30-($G$31+COS(RADIANS(E20+$E$30-$B20))*D20),2))</f>
        <v>0.81341384418398555</v>
      </c>
      <c r="E21" s="97">
        <f>MOD(DEGREES(ATAN2($G$30-($G$31+COS(RADIANS(E20+$E$30-$B20))*D20),$F$30-($F$31+SIN(RADIANS(E20+$E$30-$B20))*D20))),360)</f>
        <v>290.14572431698531</v>
      </c>
      <c r="F21" s="17">
        <f>SQRT(POWER($F$30-($F$31+SIN(RADIANS(G20+$E$30-$B20))*F20),2)+POWER($G$30-($G$31+COS(RADIANS(G20+$E$30-$B20))*F20),2))</f>
        <v>0.82641808405645523</v>
      </c>
      <c r="G21" s="14">
        <f>MOD(DEGREES(ATAN2($G$30-($G$31+COS(RADIANS(G20+$E$30-$B20))*F20),$F$30-($F$31+SIN(RADIANS(G20+$E$30-$B20))*F20))),360)</f>
        <v>291.48731841586209</v>
      </c>
      <c r="H21" s="96">
        <f>SQRT(POWER($F$30-($F$31+SIN(RADIANS(I20+$E$30-$B20))*H20),2)+POWER($G$30-($G$31+COS(RADIANS(I20+$E$30-$B20))*H20),2))</f>
        <v>0.84088953414546674</v>
      </c>
      <c r="I21" s="97">
        <f>MOD(DEGREES(ATAN2($G$30-($G$31+COS(RADIANS(I20+$E$30-$B20))*H20),$F$30-($F$31+SIN(RADIANS(I20+$E$30-$B20))*H20))),360)</f>
        <v>292.8453100018325</v>
      </c>
      <c r="J21" s="17">
        <f>SQRT(POWER($F$30-($F$31+SIN(RADIANS(K20+$E$30-$B20))*J20),2)+POWER($G$30-($G$31+COS(RADIANS(K20+$E$30-$B20))*J20),2))</f>
        <v>0.85696810893409003</v>
      </c>
      <c r="K21" s="14">
        <f>MOD(DEGREES(ATAN2($G$30-($G$31+COS(RADIANS(K20+$E$30-$B20))*J20),$F$30-($F$31+SIN(RADIANS(K20+$E$30-$B20))*J20))),360)</f>
        <v>294.21877818938515</v>
      </c>
      <c r="L21" s="96">
        <f>SQRT(POWER($F$30-($F$31+SIN(RADIANS(M20+$E$30-$B20))*L20),2)+POWER($G$30-($G$31+COS(RADIANS(M20+$E$30-$B20))*L20),2))</f>
        <v>0.87481465402321434</v>
      </c>
      <c r="M21" s="97">
        <f>MOD(DEGREES(ATAN2($G$30-($G$31+COS(RADIANS(M20+$E$30-$B20))*L20),$F$30-($F$31+SIN(RADIANS(M20+$E$30-$B20))*L20))),360)</f>
        <v>295.60687099960228</v>
      </c>
      <c r="N21" s="17">
        <f>SQRT(POWER($F$30-($F$31+SIN(RADIANS(O20+$E$30-$B20))*N20),2)+POWER($G$30-($G$31+COS(RADIANS(O20+$E$30-$B20))*N20),2))</f>
        <v>0.89461535898219935</v>
      </c>
      <c r="O21" s="14">
        <f>MOD(DEGREES(ATAN2($G$30-($G$31+COS(RADIANS(O20+$E$30-$B20))*N20),$F$30-($F$31+SIN(RADIANS(O20+$E$30-$B20))*N20))),360)</f>
        <v>297.00882402863283</v>
      </c>
      <c r="P21" s="96">
        <f>SQRT(POWER($F$30-($F$31+SIN(RADIANS(Q20+$E$30-$B20))*P20),2)+POWER($G$30-($G$31+COS(RADIANS(Q20+$E$30-$B20))*P20),2))</f>
        <v>0.91658730275258826</v>
      </c>
      <c r="Q21" s="97">
        <f>MOD(DEGREES(ATAN2($G$30-($G$31+COS(RADIANS(Q20+$E$30-$B20))*P20),$F$30-($F$31+SIN(RADIANS(Q20+$E$30-$B20))*P20))),360)</f>
        <v>298.42397917952792</v>
      </c>
      <c r="R21" s="17">
        <f>SQRT(POWER($F$30-($F$31+SIN(RADIANS(S20+$E$30-$B20))*R20),2)+POWER($G$30-($G$31+COS(RADIANS(S20+$E$30-$B20))*R20),2))</f>
        <v>0.94098547980341052</v>
      </c>
      <c r="S21" s="14">
        <f>MOD(DEGREES(ATAN2($G$30-($G$31+COS(RADIANS(S20+$E$30-$B20))*R20),$F$30-($F$31+SIN(RADIANS(S20+$E$30-$B20))*R20))),360)</f>
        <v>299.85180325115562</v>
      </c>
      <c r="T21" s="96">
        <f>SQRT(POWER($F$30-($F$31+SIN(RADIANS(U20+$E$30-$B20))*T20),2)+POWER($G$30-($G$31+COS(RADIANS(U20+$E$30-$B20))*T20),2))</f>
        <v>0.96811178373494122</v>
      </c>
      <c r="U21" s="97">
        <f>MOD(DEGREES(ATAN2($G$30-($G$31+COS(RADIANS(U20+$E$30-$B20))*T20),$F$30-($F$31+SIN(RADIANS(U20+$E$30-$B20))*T20))),360)</f>
        <v>301.29190619914613</v>
      </c>
      <c r="V21" s="17">
        <f>SQRT(POWER($F$30-($F$31+SIN(RADIANS(W20+$E$30-$B20))*V20),2)+POWER($G$30-($G$31+COS(RADIANS(W20+$E$30-$B20))*V20),2))</f>
        <v>0.99832660956570352</v>
      </c>
      <c r="W21" s="14">
        <f>MOD(DEGREES(ATAN2($G$30-($G$31+COS(RADIANS(W20+$E$30-$B20))*V20),$F$30-($F$31+SIN(RADIANS(W20+$E$30-$B20))*V20))),360)</f>
        <v>302.7440589108889</v>
      </c>
      <c r="X21" s="96">
        <f>SQRT(POWER($F$30-($F$31+SIN(RADIANS(Y20+$E$30-$B20))*X20),2)+POWER($G$30-($G$31+COS(RADIANS(Y20+$E$30-$B20))*X20),2))</f>
        <v>1.0320640050107215</v>
      </c>
      <c r="Y21" s="97">
        <f>MOD(DEGREES(ATAN2($G$30-($G$31+COS(RADIANS(Y20+$E$30-$B20))*X20),$F$30-($F$31+SIN(RADIANS(Y20+$E$30-$B20))*X20))),360)</f>
        <v>304.20821036760992</v>
      </c>
    </row>
    <row r="22" spans="1:25" ht="15" customHeight="1" thickTop="1" x14ac:dyDescent="0.25">
      <c r="A22" s="142"/>
      <c r="B22" s="153">
        <f>B20-3</f>
        <v>-9</v>
      </c>
      <c r="C22" s="136">
        <f>MOD('New RPD &amp; RPB'!E$6-B22,360)</f>
        <v>297</v>
      </c>
      <c r="D22" s="10">
        <f>$D$31*$D$30/($D$30-D$4+$B22)</f>
        <v>0.48043478260869571</v>
      </c>
      <c r="E22" s="11">
        <f>IF('New RPD &amp; RPB'!$H$8&gt;0,90,270)+(D$4+$B22)/2*$W$31</f>
        <v>273.49578190821279</v>
      </c>
      <c r="F22" s="82">
        <f>$D$31*$D$30/($D$30-F$4+$B22)</f>
        <v>0.49662921348314609</v>
      </c>
      <c r="G22" s="92">
        <f>IF('New RPD &amp; RPB'!$H$8&gt;0,90,270)+(F$4+$B22)/2*$W$31</f>
        <v>271.74789095410637</v>
      </c>
      <c r="H22" s="10">
        <f>$D$31*$D$30/($D$30-H$4+$B22)</f>
        <v>0.51395348837209309</v>
      </c>
      <c r="I22" s="11">
        <f>IF('New RPD &amp; RPB'!$H$8&gt;0,90,270)+(H$4+$B22)/2*$W$31</f>
        <v>270</v>
      </c>
      <c r="J22" s="82">
        <f>$D$31*$D$30/($D$30-J$4+$B22)</f>
        <v>0.53253012048192772</v>
      </c>
      <c r="K22" s="92">
        <f>IF('New RPD &amp; RPB'!$H$8&gt;0,90,270)+(J$4+$B22)/2*$W$31</f>
        <v>268.25210904589363</v>
      </c>
      <c r="L22" s="10">
        <f>$D$31*$D$30/($D$30-L$4+$B22)</f>
        <v>0.55249999999999999</v>
      </c>
      <c r="M22" s="11">
        <f>IF('New RPD &amp; RPB'!$H$8&gt;0,90,270)+(L$4+$B22)/2*$W$31</f>
        <v>266.50421809178721</v>
      </c>
      <c r="N22" s="82">
        <f>$D$31*$D$30/($D$30-N$4+$B22)</f>
        <v>0.57402597402597411</v>
      </c>
      <c r="O22" s="92">
        <f>IF('New RPD &amp; RPB'!$H$8&gt;0,90,270)+(N$4+$B22)/2*$W$31</f>
        <v>264.75632713768084</v>
      </c>
      <c r="P22" s="10">
        <f>$D$31*$D$30/($D$30-P$4+$B22)</f>
        <v>0.5972972972972973</v>
      </c>
      <c r="Q22" s="11">
        <f>IF('New RPD &amp; RPB'!$H$8&gt;0,90,270)+(P$4+$B22)/2*$W$31</f>
        <v>263.00843618357447</v>
      </c>
      <c r="R22" s="82">
        <f>$D$31*$D$30/($D$30-R$4+$B22)</f>
        <v>0.62253521126760569</v>
      </c>
      <c r="S22" s="92">
        <f>IF('New RPD &amp; RPB'!$H$8&gt;0,90,270)+(R$4+$B22)/2*$W$31</f>
        <v>261.26054522946811</v>
      </c>
      <c r="T22" s="10">
        <f>$D$31*$D$30/($D$30-T$4+$B22)</f>
        <v>0.65</v>
      </c>
      <c r="U22" s="11">
        <f>IF('New RPD &amp; RPB'!$H$8&gt;0,90,270)+(T$4+$B22)/2*$W$31</f>
        <v>259.51265427536168</v>
      </c>
      <c r="V22" s="82">
        <f>$D$31*$D$30/($D$30-V$4+$B22)</f>
        <v>0.68</v>
      </c>
      <c r="W22" s="92">
        <f>IF('New RPD &amp; RPB'!$H$8&gt;0,90,270)+(V$4+$B22)/2*$W$31</f>
        <v>257.76476332125532</v>
      </c>
      <c r="X22" s="10">
        <f>$D$31*$D$30/($D$30-X$4+$B22)</f>
        <v>0.71290322580645171</v>
      </c>
      <c r="Y22" s="11">
        <f>IF('New RPD &amp; RPB'!$H$8&gt;0,90,270)+(X$4+$B22)/2*$W$31</f>
        <v>256.01687236714895</v>
      </c>
    </row>
    <row r="23" spans="1:25" ht="15" customHeight="1" thickBot="1" x14ac:dyDescent="0.3">
      <c r="A23" s="142"/>
      <c r="B23" s="149"/>
      <c r="C23" s="137"/>
      <c r="D23" s="12">
        <f>SQRT(POWER($F$30-($F$31+SIN(RADIANS(E22+$E$30-$B22))*D22),2)+POWER($G$30-($G$31+COS(RADIANS(E22+$E$30-$B22))*D22),2))</f>
        <v>0.80582227850936705</v>
      </c>
      <c r="E23" s="13">
        <f>MOD(DEGREES(ATAN2($G$30-($G$31+COS(RADIANS(E22+$E$30-$B22))*D22),$F$30-($F$31+SIN(RADIANS(E22+$E$30-$B22))*D22))),360)</f>
        <v>288.88256221332028</v>
      </c>
      <c r="F23" s="87">
        <f>SQRT(POWER($F$30-($F$31+SIN(RADIANS(G22+$E$30-$B22))*F22),2)+POWER($G$30-($G$31+COS(RADIANS(G22+$E$30-$B22))*F22),2))</f>
        <v>0.81766028134189284</v>
      </c>
      <c r="G23" s="93">
        <f>MOD(DEGREES(ATAN2($G$30-($G$31+COS(RADIANS(G22+$E$30-$B22))*F22),$F$30-($F$31+SIN(RADIANS(G22+$E$30-$B22))*F22))),360)</f>
        <v>290.19205235047525</v>
      </c>
      <c r="H23" s="12">
        <f>SQRT(POWER($F$30-($F$31+SIN(RADIANS(I22+$E$30-$B22))*H22),2)+POWER($G$30-($G$31+COS(RADIANS(I22+$E$30-$B22))*H22),2))</f>
        <v>0.83084298483744412</v>
      </c>
      <c r="I23" s="13">
        <f>MOD(DEGREES(ATAN2($G$30-($G$31+COS(RADIANS(I22+$E$30-$B22))*H22),$F$30-($F$31+SIN(RADIANS(I22+$E$30-$B22))*H22))),360)</f>
        <v>291.51810101562421</v>
      </c>
      <c r="J23" s="87">
        <f>SQRT(POWER($F$30-($F$31+SIN(RADIANS(K22+$E$30-$B22))*J22),2)+POWER($G$30-($G$31+COS(RADIANS(K22+$E$30-$B22))*J22),2))</f>
        <v>0.84549259882288097</v>
      </c>
      <c r="K23" s="93">
        <f>MOD(DEGREES(ATAN2($G$30-($G$31+COS(RADIANS(K22+$E$30-$B22))*J22),$F$30-($F$31+SIN(RADIANS(K22+$E$30-$B22))*J22))),360)</f>
        <v>292.85977303805475</v>
      </c>
      <c r="L23" s="12">
        <f>SQRT(POWER($F$30-($F$31+SIN(RADIANS(M22+$E$30-$B22))*L22),2)+POWER($G$30-($G$31+COS(RADIANS(M22+$E$30-$B22))*L22),2))</f>
        <v>0.86174873355728232</v>
      </c>
      <c r="M23" s="13">
        <f>MOD(DEGREES(ATAN2($G$30-($G$31+COS(RADIANS(M22+$E$30-$B22))*L22),$F$30-($F$31+SIN(RADIANS(M22+$E$30-$B22))*L22))),360)</f>
        <v>294.21618924572113</v>
      </c>
      <c r="N23" s="87">
        <f>SQRT(POWER($F$30-($F$31+SIN(RADIANS(O22+$E$30-$B22))*N22),2)+POWER($G$30-($G$31+COS(RADIANS(O22+$E$30-$B22))*N22),2))</f>
        <v>0.87977194017523253</v>
      </c>
      <c r="O23" s="93">
        <f>MOD(DEGREES(ATAN2($G$30-($G$31+COS(RADIANS(O22+$E$30-$B22))*N22),$F$30-($F$31+SIN(RADIANS(O22+$E$30-$B22))*N22))),360)</f>
        <v>295.58654441819289</v>
      </c>
      <c r="P23" s="12">
        <f>SQRT(POWER($F$30-($F$31+SIN(RADIANS(Q22+$E$30-$B22))*P22),2)+POWER($G$30-($G$31+COS(RADIANS(Q22+$E$30-$B22))*P22),2))</f>
        <v>0.89974812597108689</v>
      </c>
      <c r="Q23" s="13">
        <f>MOD(DEGREES(ATAN2($G$30-($G$31+COS(RADIANS(Q22+$E$30-$B22))*P22),$F$30-($F$31+SIN(RADIANS(Q22+$E$30-$B22))*P22))),360)</f>
        <v>296.97012546034711</v>
      </c>
      <c r="R23" s="87">
        <f>SQRT(POWER($F$30-($F$31+SIN(RADIANS(S22+$E$30-$B22))*R22),2)+POWER($G$30-($G$31+COS(RADIANS(S22+$E$30-$B22))*R22),2))</f>
        <v>0.92189410191632992</v>
      </c>
      <c r="S23" s="93">
        <f>MOD(DEGREES(ATAN2($G$30-($G$31+COS(RADIANS(S22+$E$30-$B22))*R22),$F$30-($F$31+SIN(RADIANS(S22+$E$30-$B22))*R22))),360)</f>
        <v>298.36632959646647</v>
      </c>
      <c r="T23" s="12">
        <f>SQRT(POWER($F$30-($F$31+SIN(RADIANS(U22+$E$30-$B22))*T22),2)+POWER($G$30-($G$31+COS(RADIANS(U22+$E$30-$B22))*T22),2))</f>
        <v>0.94646461054402609</v>
      </c>
      <c r="U23" s="13">
        <f>MOD(DEGREES(ATAN2($G$30-($G$31+COS(RADIANS(U22+$E$30-$B22))*T22),$F$30-($F$31+SIN(RADIANS(U22+$E$30-$B22))*T22))),360)</f>
        <v>299.77468240081896</v>
      </c>
      <c r="V23" s="87">
        <f>SQRT(POWER($F$30-($F$31+SIN(RADIANS(W22+$E$30-$B22))*V22),2)+POWER($G$30-($G$31+COS(RADIANS(W22+$E$30-$B22))*V22),2))</f>
        <v>0.97376131084007878</v>
      </c>
      <c r="W23" s="93">
        <f>MOD(DEGREES(ATAN2($G$30-($G$31+COS(RADIANS(W22+$E$30-$B22))*V22),$F$30-($F$31+SIN(RADIANS(W22+$E$30-$B22))*V22))),360)</f>
        <v>301.19485550372684</v>
      </c>
      <c r="X23" s="12">
        <f>SQRT(POWER($F$30-($F$31+SIN(RADIANS(Y22+$E$30-$B22))*X22),2)+POWER($G$30-($G$31+COS(RADIANS(Y22+$E$30-$B22))*X22),2))</f>
        <v>1.0041443813269515</v>
      </c>
      <c r="Y23" s="13">
        <f>MOD(DEGREES(ATAN2($G$30-($G$31+COS(RADIANS(Y22+$E$30-$B22))*X22),$F$30-($F$31+SIN(RADIANS(Y22+$E$30-$B22))*X22))),360)</f>
        <v>302.62668384010345</v>
      </c>
    </row>
    <row r="24" spans="1:25" ht="15" customHeight="1" thickTop="1" x14ac:dyDescent="0.25">
      <c r="A24" s="142"/>
      <c r="B24" s="153">
        <f>B22-3</f>
        <v>-12</v>
      </c>
      <c r="C24" s="136">
        <f>MOD('New RPD &amp; RPB'!E$6-B24,360)</f>
        <v>300</v>
      </c>
      <c r="D24" s="10">
        <f>$D$31*$D$30/($D$30-D$4+$B24)</f>
        <v>0.46526315789473688</v>
      </c>
      <c r="E24" s="95">
        <f>IF('New RPD &amp; RPB'!$H$8&gt;0,90,270)+(D$4+$B24)/2*$W$31</f>
        <v>271.74789095410637</v>
      </c>
      <c r="F24" s="79">
        <f>$D$31*$D$30/($D$30-F$4+$B24)</f>
        <v>0.48043478260869571</v>
      </c>
      <c r="G24" s="94">
        <f>IF('New RPD &amp; RPB'!$H$8&gt;0,90,270)+(F$4+$B24)/2*$W$31</f>
        <v>270</v>
      </c>
      <c r="H24" s="10">
        <f>$D$31*$D$30/($D$30-H$4+$B24)</f>
        <v>0.49662921348314609</v>
      </c>
      <c r="I24" s="95">
        <f>IF('New RPD &amp; RPB'!$H$8&gt;0,90,270)+(H$4+$B24)/2*$W$31</f>
        <v>268.25210904589363</v>
      </c>
      <c r="J24" s="79">
        <f>$D$31*$D$30/($D$30-J$4+$B24)</f>
        <v>0.51395348837209309</v>
      </c>
      <c r="K24" s="94">
        <f>IF('New RPD &amp; RPB'!$H$8&gt;0,90,270)+(J$4+$B24)/2*$W$31</f>
        <v>266.50421809178721</v>
      </c>
      <c r="L24" s="10">
        <f>$D$31*$D$30/($D$30-L$4+$B24)</f>
        <v>0.53253012048192772</v>
      </c>
      <c r="M24" s="95">
        <f>IF('New RPD &amp; RPB'!$H$8&gt;0,90,270)+(L$4+$B24)/2*$W$31</f>
        <v>264.75632713768084</v>
      </c>
      <c r="N24" s="79">
        <f>$D$31*$D$30/($D$30-N$4+$B24)</f>
        <v>0.55249999999999999</v>
      </c>
      <c r="O24" s="94">
        <f>IF('New RPD &amp; RPB'!$H$8&gt;0,90,270)+(N$4+$B24)/2*$W$31</f>
        <v>263.00843618357447</v>
      </c>
      <c r="P24" s="10">
        <f>$D$31*$D$30/($D$30-P$4+$B24)</f>
        <v>0.57402597402597411</v>
      </c>
      <c r="Q24" s="95">
        <f>IF('New RPD &amp; RPB'!$H$8&gt;0,90,270)+(P$4+$B24)/2*$W$31</f>
        <v>261.26054522946811</v>
      </c>
      <c r="R24" s="79">
        <f>$D$31*$D$30/($D$30-R$4+$B24)</f>
        <v>0.5972972972972973</v>
      </c>
      <c r="S24" s="94">
        <f>IF('New RPD &amp; RPB'!$H$8&gt;0,90,270)+(R$4+$B24)/2*$W$31</f>
        <v>259.51265427536168</v>
      </c>
      <c r="T24" s="10">
        <f>$D$31*$D$30/($D$30-T$4+$B24)</f>
        <v>0.62253521126760569</v>
      </c>
      <c r="U24" s="95">
        <f>IF('New RPD &amp; RPB'!$H$8&gt;0,90,270)+(T$4+$B24)/2*$W$31</f>
        <v>257.76476332125532</v>
      </c>
      <c r="V24" s="79">
        <f>$D$31*$D$30/($D$30-V$4+$B24)</f>
        <v>0.65</v>
      </c>
      <c r="W24" s="94">
        <f>IF('New RPD &amp; RPB'!$H$8&gt;0,90,270)+(V$4+$B24)/2*$W$31</f>
        <v>256.01687236714895</v>
      </c>
      <c r="X24" s="10">
        <f>$D$31*$D$30/($D$30-X$4+$B24)</f>
        <v>0.68</v>
      </c>
      <c r="Y24" s="95">
        <f>IF('New RPD &amp; RPB'!$H$8&gt;0,90,270)+(X$4+$B24)/2*$W$31</f>
        <v>254.26898141304255</v>
      </c>
    </row>
    <row r="25" spans="1:25" ht="15" customHeight="1" thickBot="1" x14ac:dyDescent="0.3">
      <c r="A25" s="142"/>
      <c r="B25" s="149"/>
      <c r="C25" s="137"/>
      <c r="D25" s="96">
        <f>SQRT(POWER($F$30-($F$31+SIN(RADIANS(E24+$E$30-$B24))*D24),2)+POWER($G$30-($G$31+COS(RADIANS(E24+$E$30-$B24))*D24),2))</f>
        <v>0.79912128621822542</v>
      </c>
      <c r="E25" s="97">
        <f>MOD(DEGREES(ATAN2($G$30-($G$31+COS(RADIANS(E24+$E$30-$B24))*D24),$F$30-($F$31+SIN(RADIANS(E24+$E$30-$B24))*D24))),360)</f>
        <v>287.66241448553245</v>
      </c>
      <c r="F25" s="17">
        <f>SQRT(POWER($F$30-($F$31+SIN(RADIANS(G24+$E$30-$B24))*F24),2)+POWER($G$30-($G$31+COS(RADIANS(G24+$E$30-$B24))*F24),2))</f>
        <v>0.80989837464246217</v>
      </c>
      <c r="G25" s="14">
        <f>MOD(DEGREES(ATAN2($G$30-($G$31+COS(RADIANS(G24+$E$30-$B24))*F24),$F$30-($F$31+SIN(RADIANS(G24+$E$30-$B24))*F24))),360)</f>
        <v>288.94051854055186</v>
      </c>
      <c r="H25" s="96">
        <f>SQRT(POWER($F$30-($F$31+SIN(RADIANS(I24+$E$30-$B24))*H24),2)+POWER($G$30-($G$31+COS(RADIANS(I24+$E$30-$B24))*H24),2))</f>
        <v>0.82191275105919914</v>
      </c>
      <c r="I25" s="97">
        <f>MOD(DEGREES(ATAN2($G$30-($G$31+COS(RADIANS(I24+$E$30-$B24))*H24),$F$30-($F$31+SIN(RADIANS(I24+$E$30-$B24))*H24))),360)</f>
        <v>290.23533801552304</v>
      </c>
      <c r="J25" s="17">
        <f>SQRT(POWER($F$30-($F$31+SIN(RADIANS(K24+$E$30-$B24))*J24),2)+POWER($G$30-($G$31+COS(RADIANS(K24+$E$30-$B24))*J24),2))</f>
        <v>0.83527177964363863</v>
      </c>
      <c r="K25" s="14">
        <f>MOD(DEGREES(ATAN2($G$30-($G$31+COS(RADIANS(K24+$E$30-$B24))*J24),$F$30-($F$31+SIN(RADIANS(K24+$E$30-$B24))*J24))),360)</f>
        <v>291.54592971460596</v>
      </c>
      <c r="L25" s="96">
        <f>SQRT(POWER($F$30-($F$31+SIN(RADIANS(M24+$E$30-$B24))*L24),2)+POWER($G$30-($G$31+COS(RADIANS(M24+$E$30-$B24))*L24),2))</f>
        <v>0.85009737215138526</v>
      </c>
      <c r="M25" s="97">
        <f>MOD(DEGREES(ATAN2($G$30-($G$31+COS(RADIANS(M24+$E$30-$B24))*L24),$F$30-($F$31+SIN(RADIANS(M24+$E$30-$B24))*L24))),360)</f>
        <v>292.8713943649243</v>
      </c>
      <c r="N25" s="17">
        <f>SQRT(POWER($F$30-($F$31+SIN(RADIANS(O24+$E$30-$B24))*N24),2)+POWER($G$30-($G$31+COS(RADIANS(O24+$E$30-$B24))*N24),2))</f>
        <v>0.86652884871946245</v>
      </c>
      <c r="O25" s="14">
        <f>MOD(DEGREES(ATAN2($G$30-($G$31+COS(RADIANS(O24+$E$30-$B24))*N24),$F$30-($F$31+SIN(RADIANS(O24+$E$30-$B24))*N24))),360)</f>
        <v>294.21089377614368</v>
      </c>
      <c r="P25" s="96">
        <f>SQRT(POWER($F$30-($F$31+SIN(RADIANS(Q24+$E$30-$B24))*P24),2)+POWER($G$30-($G$31+COS(RADIANS(Q24+$E$30-$B24))*P24),2))</f>
        <v>0.88472648083676364</v>
      </c>
      <c r="Q25" s="97">
        <f>MOD(DEGREES(ATAN2($G$30-($G$31+COS(RADIANS(Q24+$E$30-$B24))*P24),$F$30-($F$31+SIN(RADIANS(Q24+$E$30-$B24))*P24))),360)</f>
        <v>295.56366835921972</v>
      </c>
      <c r="R25" s="17">
        <f>SQRT(POWER($F$30-($F$31+SIN(RADIANS(S24+$E$30-$B24))*R24),2)+POWER($G$30-($G$31+COS(RADIANS(S24+$E$30-$B24))*R24),2))</f>
        <v>0.90487590889905467</v>
      </c>
      <c r="S25" s="14">
        <f>MOD(DEGREES(ATAN2($G$30-($G$31+COS(RADIANS(S24+$E$30-$B24))*R24),$F$30-($F$31+SIN(RADIANS(S24+$E$30-$B24))*R24))),360)</f>
        <v>296.92905481178832</v>
      </c>
      <c r="T25" s="96">
        <f>SQRT(POWER($F$30-($F$31+SIN(RADIANS(U24+$E$30-$B24))*T24),2)+POWER($G$30-($G$31+COS(RADIANS(U24+$E$30-$B24))*T24),2))</f>
        <v>0.92719369167594212</v>
      </c>
      <c r="U25" s="97">
        <f>MOD(DEGREES(ATAN2($G$30-($G$31+COS(RADIANS(U24+$E$30-$B24))*T24),$F$30-($F$31+SIN(RADIANS(U24+$E$30-$B24))*T24))),360)</f>
        <v>298.30650378930312</v>
      </c>
      <c r="V25" s="17">
        <f>SQRT(POWER($F$30-($F$31+SIN(RADIANS(W24+$E$30-$B24))*V24),2)+POWER($G$30-($G$31+COS(RADIANS(W24+$E$30-$B24))*V24),2))</f>
        <v>0.95193433576506603</v>
      </c>
      <c r="W25" s="14">
        <f>MOD(DEGREES(ATAN2($G$30-($G$31+COS(RADIANS(W24+$E$30-$B24))*V24),$F$30-($F$31+SIN(RADIANS(W24+$E$30-$B24))*V24))),360)</f>
        <v>299.69559739955309</v>
      </c>
      <c r="X25" s="96">
        <f>SQRT(POWER($F$30-($F$31+SIN(RADIANS(Y24+$E$30-$B24))*X24),2)+POWER($G$30-($G$31+COS(RADIANS(Y24+$E$30-$B24))*X24),2))</f>
        <v>0.97939928162161505</v>
      </c>
      <c r="Y25" s="97">
        <f>MOD(DEGREES(ATAN2($G$30-($G$31+COS(RADIANS(Y24+$E$30-$B24))*X24),$F$30-($F$31+SIN(RADIANS(Y24+$E$30-$B24))*X24))),360)</f>
        <v>301.09606638252052</v>
      </c>
    </row>
    <row r="26" spans="1:25" ht="15" customHeight="1" thickTop="1" x14ac:dyDescent="0.25">
      <c r="A26" s="142"/>
      <c r="B26" s="153">
        <f>B24-3</f>
        <v>-15</v>
      </c>
      <c r="C26" s="136">
        <f>MOD('New RPD &amp; RPB'!E$6-B26,360)</f>
        <v>303</v>
      </c>
      <c r="D26" s="10">
        <f>$D$31*$D$30/($D$30-D$4+$B26)</f>
        <v>0.45102040816326533</v>
      </c>
      <c r="E26" s="11">
        <f>IF('New RPD &amp; RPB'!$H$8&gt;0,90,270)+(D$4+$B26)/2*$W$31</f>
        <v>270</v>
      </c>
      <c r="F26" s="82">
        <f>$D$31*$D$30/($D$30-F$4+$B26)</f>
        <v>0.46526315789473688</v>
      </c>
      <c r="G26" s="92">
        <f>IF('New RPD &amp; RPB'!$H$8&gt;0,90,270)+(F$4+$B26)/2*$W$31</f>
        <v>268.25210904589363</v>
      </c>
      <c r="H26" s="10">
        <f>$D$31*$D$30/($D$30-H$4+$B26)</f>
        <v>0.48043478260869571</v>
      </c>
      <c r="I26" s="11">
        <f>IF('New RPD &amp; RPB'!$H$8&gt;0,90,270)+(H$4+$B26)/2*$W$31</f>
        <v>266.50421809178721</v>
      </c>
      <c r="J26" s="82">
        <f>$D$31*$D$30/($D$30-J$4+$B26)</f>
        <v>0.49662921348314609</v>
      </c>
      <c r="K26" s="92">
        <f>IF('New RPD &amp; RPB'!$H$8&gt;0,90,270)+(J$4+$B26)/2*$W$31</f>
        <v>264.75632713768084</v>
      </c>
      <c r="L26" s="10">
        <f>$D$31*$D$30/($D$30-L$4+$B26)</f>
        <v>0.51395348837209309</v>
      </c>
      <c r="M26" s="11">
        <f>IF('New RPD &amp; RPB'!$H$8&gt;0,90,270)+(L$4+$B26)/2*$W$31</f>
        <v>263.00843618357447</v>
      </c>
      <c r="N26" s="82">
        <f>$D$31*$D$30/($D$30-N$4+$B26)</f>
        <v>0.53253012048192772</v>
      </c>
      <c r="O26" s="92">
        <f>IF('New RPD &amp; RPB'!$H$8&gt;0,90,270)+(N$4+$B26)/2*$W$31</f>
        <v>261.26054522946811</v>
      </c>
      <c r="P26" s="10">
        <f>$D$31*$D$30/($D$30-P$4+$B26)</f>
        <v>0.55249999999999999</v>
      </c>
      <c r="Q26" s="11">
        <f>IF('New RPD &amp; RPB'!$H$8&gt;0,90,270)+(P$4+$B26)/2*$W$31</f>
        <v>259.51265427536168</v>
      </c>
      <c r="R26" s="82">
        <f>$D$31*$D$30/($D$30-R$4+$B26)</f>
        <v>0.57402597402597411</v>
      </c>
      <c r="S26" s="92">
        <f>IF('New RPD &amp; RPB'!$H$8&gt;0,90,270)+(R$4+$B26)/2*$W$31</f>
        <v>257.76476332125532</v>
      </c>
      <c r="T26" s="10">
        <f>$D$31*$D$30/($D$30-T$4+$B26)</f>
        <v>0.5972972972972973</v>
      </c>
      <c r="U26" s="11">
        <f>IF('New RPD &amp; RPB'!$H$8&gt;0,90,270)+(T$4+$B26)/2*$W$31</f>
        <v>256.01687236714895</v>
      </c>
      <c r="V26" s="82">
        <f>$D$31*$D$30/($D$30-V$4+$B26)</f>
        <v>0.62253521126760569</v>
      </c>
      <c r="W26" s="92">
        <f>IF('New RPD &amp; RPB'!$H$8&gt;0,90,270)+(V$4+$B26)/2*$W$31</f>
        <v>254.26898141304255</v>
      </c>
      <c r="X26" s="10">
        <f>$D$31*$D$30/($D$30-X$4+$B26)</f>
        <v>0.65</v>
      </c>
      <c r="Y26" s="11">
        <f>IF('New RPD &amp; RPB'!$H$8&gt;0,90,270)+(X$4+$B26)/2*$W$31</f>
        <v>252.52109045893619</v>
      </c>
    </row>
    <row r="27" spans="1:25" ht="15" customHeight="1" thickBot="1" x14ac:dyDescent="0.3">
      <c r="A27" s="142"/>
      <c r="B27" s="149"/>
      <c r="C27" s="137"/>
      <c r="D27" s="12">
        <f>SQRT(POWER($F$30-($F$31+SIN(RADIANS(E26+$E$30-$B26))*D26),2)+POWER($G$30-($G$31+COS(RADIANS(E26+$E$30-$B26))*D26),2))</f>
        <v>0.79322235781659656</v>
      </c>
      <c r="E27" s="13">
        <f>MOD(DEGREES(ATAN2($G$30-($G$31+COS(RADIANS(E26+$E$30-$B26))*D26),$F$30-($F$31+SIN(RADIANS(E26+$E$30-$B26))*D26))),360)</f>
        <v>286.48368975004644</v>
      </c>
      <c r="F27" s="87">
        <f>SQRT(POWER($F$30-($F$31+SIN(RADIANS(G26+$E$30-$B26))*F26),2)+POWER($G$30-($G$31+COS(RADIANS(G26+$E$30-$B26))*F26),2))</f>
        <v>0.80303094351154813</v>
      </c>
      <c r="G27" s="93">
        <f>MOD(DEGREES(ATAN2($G$30-($G$31+COS(RADIANS(G26+$E$30-$B26))*F26),$F$30-($F$31+SIN(RADIANS(G26+$E$30-$B26))*F26))),360)</f>
        <v>287.73111553147982</v>
      </c>
      <c r="H27" s="12">
        <f>SQRT(POWER($F$30-($F$31+SIN(RADIANS(I26+$E$30-$B26))*H26),2)+POWER($G$30-($G$31+COS(RADIANS(I26+$E$30-$B26))*H26),2))</f>
        <v>0.81398215705169374</v>
      </c>
      <c r="I27" s="13">
        <f>MOD(DEGREES(ATAN2($G$30-($G$31+COS(RADIANS(I26+$E$30-$B26))*H26),$F$30-($F$31+SIN(RADIANS(I26+$E$30-$B26))*H26))),360)</f>
        <v>288.99540883003783</v>
      </c>
      <c r="J27" s="87">
        <f>SQRT(POWER($F$30-($F$31+SIN(RADIANS(K26+$E$30-$B26))*J26),2)+POWER($G$30-($G$31+COS(RADIANS(K26+$E$30-$B26))*J26),2))</f>
        <v>0.82617084424291509</v>
      </c>
      <c r="K27" s="93">
        <f>MOD(DEGREES(ATAN2($G$30-($G$31+COS(RADIANS(K26+$E$30-$B26))*J26),$F$30-($F$31+SIN(RADIANS(K26+$E$30-$B26))*J26))),360)</f>
        <v>290.27562418239796</v>
      </c>
      <c r="L27" s="12">
        <f>SQRT(POWER($F$30-($F$31+SIN(RADIANS(M26+$E$30-$B26))*L26),2)+POWER($G$30-($G$31+COS(RADIANS(M26+$E$30-$B26))*L26),2))</f>
        <v>0.83970407788258417</v>
      </c>
      <c r="M27" s="13">
        <f>MOD(DEGREES(ATAN2($G$30-($G$31+COS(RADIANS(M26+$E$30-$B26))*L26),$F$30-($F$31+SIN(RADIANS(M26+$E$30-$B26))*L26))),360)</f>
        <v>291.57084882183187</v>
      </c>
      <c r="N27" s="87">
        <f>SQRT(POWER($F$30-($F$31+SIN(RADIANS(O26+$E$30-$B26))*N26),2)+POWER($G$30-($G$31+COS(RADIANS(O26+$E$30-$B26))*N26),2))</f>
        <v>0.85470348452180722</v>
      </c>
      <c r="O27" s="93">
        <f>MOD(DEGREES(ATAN2($G$30-($G$31+COS(RADIANS(O26+$E$30-$B26))*N26),$F$30-($F$31+SIN(RADIANS(O26+$E$30-$B26))*N26))),360)</f>
        <v>292.88021898617183</v>
      </c>
      <c r="P27" s="12">
        <f>SQRT(POWER($F$30-($F$31+SIN(RADIANS(Q26+$E$30-$B26))*P26),2)+POWER($G$30-($G$31+COS(RADIANS(Q26+$E$30-$B26))*P26),2))</f>
        <v>0.87130810784230073</v>
      </c>
      <c r="Q27" s="13">
        <f>MOD(DEGREES(ATAN2($G$30-($G$31+COS(RADIANS(Q26+$E$30-$B26))*P26),$F$30-($F$31+SIN(RADIANS(Q26+$E$30-$B26))*P26))),360)</f>
        <v>294.20293670540946</v>
      </c>
      <c r="R27" s="87">
        <f>SQRT(POWER($F$30-($F$31+SIN(RADIANS(S26+$E$30-$B26))*R26),2)+POWER($G$30-($G$31+COS(RADIANS(S26+$E$30-$B26))*R26),2))</f>
        <v>0.88967795400535299</v>
      </c>
      <c r="S27" s="93">
        <f>MOD(DEGREES(ATAN2($G$30-($G$31+COS(RADIANS(S26+$E$30-$B26))*R26),$F$30-($F$31+SIN(RADIANS(S26+$E$30-$B26))*R26))),360)</f>
        <v>295.53828688587487</v>
      </c>
      <c r="T27" s="12">
        <f>SQRT(POWER($F$30-($F$31+SIN(RADIANS(U26+$E$30-$B26))*T26),2)+POWER($G$30-($G$31+COS(RADIANS(U26+$E$30-$B26))*T26),2))</f>
        <v>0.90999841132403947</v>
      </c>
      <c r="U27" s="13">
        <f>MOD(DEGREES(ATAN2($G$30-($G$31+COS(RADIANS(U26+$E$30-$B26))*T26),$F$30-($F$31+SIN(RADIANS(U26+$E$30-$B26))*T26))),360)</f>
        <v>296.88565451498516</v>
      </c>
      <c r="V27" s="87">
        <f>SQRT(POWER($F$30-($F$31+SIN(RADIANS(W26+$E$30-$B26))*V26),2)+POWER($G$30-($G$31+COS(RADIANS(W26+$E$30-$B26))*V26),2))</f>
        <v>0.9324858015268479</v>
      </c>
      <c r="W27" s="93">
        <f>MOD(DEGREES(ATAN2($G$30-($G$31+COS(RADIANS(W26+$E$30-$B26))*V26),$F$30-($F$31+SIN(RADIANS(W26+$E$30-$B26))*V26))),360)</f>
        <v>298.24454182459982</v>
      </c>
      <c r="X27" s="12">
        <f>SQRT(POWER($F$30-($F$31+SIN(RADIANS(Y26+$E$30-$B26))*X26),2)+POWER($G$30-($G$31+COS(RADIANS(Y26+$E$30-$B26))*X26),2))</f>
        <v>0.9573944106347374</v>
      </c>
      <c r="Y27" s="13">
        <f>MOD(DEGREES(ATAN2($G$30-($G$31+COS(RADIANS(Y26+$E$30-$B26))*X26),$F$30-($F$31+SIN(RADIANS(Y26+$E$30-$B26))*X26))),360)</f>
        <v>299.61458527134204</v>
      </c>
    </row>
    <row r="28" spans="1:25" ht="15.75" thickTop="1" x14ac:dyDescent="0.25">
      <c r="Q28" s="6"/>
      <c r="W28" t="s">
        <v>23</v>
      </c>
    </row>
    <row r="29" spans="1:25" hidden="1" x14ac:dyDescent="0.25"/>
    <row r="30" spans="1:25" hidden="1" x14ac:dyDescent="0.25">
      <c r="D30">
        <f>'New RPD &amp; RPB'!H8</f>
        <v>-68</v>
      </c>
      <c r="E30">
        <f>Init_Co</f>
        <v>288</v>
      </c>
      <c r="F30" s="2">
        <f>'New RPD &amp; RPB'!$L$6</f>
        <v>-0.80540362551952793</v>
      </c>
      <c r="G30" s="2">
        <f>'New RPD &amp; RPB'!$M$6</f>
        <v>0.46500000000000014</v>
      </c>
      <c r="O30">
        <v>10</v>
      </c>
      <c r="P30">
        <v>3</v>
      </c>
    </row>
    <row r="31" spans="1:25" hidden="1" x14ac:dyDescent="0.25">
      <c r="D31">
        <f>'New RPD &amp; RPB'!E8</f>
        <v>0.65</v>
      </c>
      <c r="F31" s="2">
        <f>'New RPD &amp; RPB'!$L$7</f>
        <v>0.20086104634371568</v>
      </c>
      <c r="G31" s="2">
        <f>'New RPD &amp; RPB'!M7</f>
        <v>0.61818673559184989</v>
      </c>
      <c r="N31" s="1">
        <f>ABS('New RPD &amp; RPB'!H9)</f>
        <v>34</v>
      </c>
      <c r="O31" s="2">
        <f>O30+SIN(RADIANS(N31))*P30</f>
        <v>11.677578710412241</v>
      </c>
      <c r="P31" s="2">
        <f>COS(RADIANS(N31))*P30</f>
        <v>2.4871127176651249</v>
      </c>
      <c r="Q31" s="1">
        <f>DEGREES(ATAN2(O31,P31))</f>
        <v>12.023313759456316</v>
      </c>
      <c r="R31" s="2">
        <f>O30-SIN(RADIANS(N31))*P30</f>
        <v>8.3224212895877585</v>
      </c>
      <c r="S31" s="2">
        <f>COS(RADIANS(N31))*P30</f>
        <v>2.4871127176651249</v>
      </c>
      <c r="T31" s="1">
        <f>DEGREES(ATAN2(R31,S31))</f>
        <v>16.638504407337482</v>
      </c>
      <c r="U31" s="1">
        <f>(Q31+T31)/2</f>
        <v>14.3309090833969</v>
      </c>
      <c r="V31" s="1">
        <f>DEGREES(ATAN2(O30,P30))</f>
        <v>16.699244233993621</v>
      </c>
      <c r="W31" s="7">
        <f>V31/U31</f>
        <v>1.1652606360709217</v>
      </c>
    </row>
    <row r="32" spans="1:25" hidden="1" x14ac:dyDescent="0.25"/>
  </sheetData>
  <sheetProtection password="870B" sheet="1" objects="1" scenarios="1" selectLockedCells="1" selectUnlockedCells="1"/>
  <mergeCells count="49">
    <mergeCell ref="V5:W5"/>
    <mergeCell ref="X5:Y5"/>
    <mergeCell ref="F5:G5"/>
    <mergeCell ref="H5:I5"/>
    <mergeCell ref="J5:K5"/>
    <mergeCell ref="L5:M5"/>
    <mergeCell ref="N5:O5"/>
    <mergeCell ref="N4:O4"/>
    <mergeCell ref="P4:Q4"/>
    <mergeCell ref="R4:S4"/>
    <mergeCell ref="T4:U4"/>
    <mergeCell ref="P5:Q5"/>
    <mergeCell ref="R5:S5"/>
    <mergeCell ref="T5:U5"/>
    <mergeCell ref="O1:P2"/>
    <mergeCell ref="G1:N2"/>
    <mergeCell ref="A6:A27"/>
    <mergeCell ref="D3:Y3"/>
    <mergeCell ref="V4:W4"/>
    <mergeCell ref="X4:Y4"/>
    <mergeCell ref="B16:B17"/>
    <mergeCell ref="B6:B7"/>
    <mergeCell ref="B20:B21"/>
    <mergeCell ref="B22:B23"/>
    <mergeCell ref="Q1:T2"/>
    <mergeCell ref="D4:E4"/>
    <mergeCell ref="F4:G4"/>
    <mergeCell ref="H4:I4"/>
    <mergeCell ref="J4:K4"/>
    <mergeCell ref="L4:M4"/>
    <mergeCell ref="B24:B25"/>
    <mergeCell ref="B26:B27"/>
    <mergeCell ref="B8:B9"/>
    <mergeCell ref="B10:B11"/>
    <mergeCell ref="B12:B13"/>
    <mergeCell ref="B14:B15"/>
    <mergeCell ref="B18:B19"/>
    <mergeCell ref="C26:C27"/>
    <mergeCell ref="D5:E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2"/>
  <sheetViews>
    <sheetView showGridLines="0" zoomScaleNormal="100" workbookViewId="0"/>
  </sheetViews>
  <sheetFormatPr defaultRowHeight="15" x14ac:dyDescent="0.25"/>
  <cols>
    <col min="1" max="1" width="6.7109375" customWidth="1"/>
    <col min="4" max="32" width="6.7109375" customWidth="1"/>
    <col min="33" max="38" width="4.7109375" customWidth="1"/>
  </cols>
  <sheetData>
    <row r="1" spans="1:27" ht="15" customHeight="1" x14ac:dyDescent="0.25">
      <c r="B1" s="19"/>
      <c r="C1" s="19"/>
      <c r="D1" s="19"/>
      <c r="E1" s="117" t="s">
        <v>11</v>
      </c>
      <c r="F1" s="118" t="s">
        <v>12</v>
      </c>
      <c r="G1" s="140" t="str">
        <f>'New RPD &amp; RPB'!D11</f>
        <v>Sydney Heads In</v>
      </c>
      <c r="H1" s="141"/>
      <c r="I1" s="141"/>
      <c r="J1" s="141"/>
      <c r="K1" s="141"/>
      <c r="L1" s="141"/>
      <c r="M1" s="141"/>
      <c r="N1" s="141"/>
      <c r="O1" s="146">
        <f>ABS('New RPD &amp; RPB'!H8)</f>
        <v>68</v>
      </c>
      <c r="P1" s="146"/>
      <c r="Q1" s="147" t="str">
        <f>IF('New RPD &amp; RPB'!H8&gt;0, "to Starboard","to Port")</f>
        <v>to Port</v>
      </c>
      <c r="R1" s="147"/>
      <c r="S1" s="147"/>
      <c r="T1" s="147"/>
      <c r="U1" s="19"/>
      <c r="V1" s="19"/>
      <c r="W1" s="121" t="s">
        <v>11</v>
      </c>
      <c r="X1" s="122" t="s">
        <v>12</v>
      </c>
      <c r="Z1" s="19"/>
      <c r="AA1" s="19"/>
    </row>
    <row r="2" spans="1:27" ht="15" customHeight="1" x14ac:dyDescent="0.25">
      <c r="B2" s="19"/>
      <c r="C2" s="19"/>
      <c r="D2" s="19"/>
      <c r="E2" s="119" t="s">
        <v>13</v>
      </c>
      <c r="F2" s="120" t="s">
        <v>14</v>
      </c>
      <c r="G2" s="141"/>
      <c r="H2" s="141"/>
      <c r="I2" s="141"/>
      <c r="J2" s="141"/>
      <c r="K2" s="141"/>
      <c r="L2" s="141"/>
      <c r="M2" s="141"/>
      <c r="N2" s="141"/>
      <c r="O2" s="146"/>
      <c r="P2" s="146"/>
      <c r="Q2" s="147"/>
      <c r="R2" s="147"/>
      <c r="S2" s="147"/>
      <c r="T2" s="147"/>
      <c r="U2" s="19"/>
      <c r="V2" s="19"/>
      <c r="W2" s="123" t="s">
        <v>13</v>
      </c>
      <c r="X2" s="124" t="s">
        <v>14</v>
      </c>
      <c r="Z2" s="19"/>
      <c r="AA2" s="19"/>
    </row>
    <row r="3" spans="1:27" ht="28.5" x14ac:dyDescent="0.45">
      <c r="D3" s="144" t="s">
        <v>27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7" ht="21" x14ac:dyDescent="0.35">
      <c r="B4" s="9">
        <v>24</v>
      </c>
      <c r="C4" s="9"/>
      <c r="D4" s="156">
        <f>B4-4</f>
        <v>20</v>
      </c>
      <c r="E4" s="157"/>
      <c r="F4" s="156">
        <f>D4-4</f>
        <v>16</v>
      </c>
      <c r="G4" s="157"/>
      <c r="H4" s="156">
        <f>F4-4</f>
        <v>12</v>
      </c>
      <c r="I4" s="157"/>
      <c r="J4" s="156">
        <f>H4-4</f>
        <v>8</v>
      </c>
      <c r="K4" s="157"/>
      <c r="L4" s="156">
        <f>J4-4</f>
        <v>4</v>
      </c>
      <c r="M4" s="157"/>
      <c r="N4" s="156">
        <f>L4-4</f>
        <v>0</v>
      </c>
      <c r="O4" s="157"/>
      <c r="P4" s="156">
        <f>N4-4</f>
        <v>-4</v>
      </c>
      <c r="Q4" s="157"/>
      <c r="R4" s="156">
        <f>P4-4</f>
        <v>-8</v>
      </c>
      <c r="S4" s="157"/>
      <c r="T4" s="156">
        <f>R4-4</f>
        <v>-12</v>
      </c>
      <c r="U4" s="157"/>
      <c r="V4" s="156">
        <f>T4-4</f>
        <v>-16</v>
      </c>
      <c r="W4" s="157"/>
      <c r="X4" s="156">
        <f>V4-4</f>
        <v>-20</v>
      </c>
      <c r="Y4" s="157"/>
    </row>
    <row r="5" spans="1:27" ht="21.75" thickBot="1" x14ac:dyDescent="0.4">
      <c r="B5" s="9"/>
      <c r="C5" s="116" t="s">
        <v>26</v>
      </c>
      <c r="D5" s="151">
        <f>MOD('New RPD &amp; RPB'!$E7-D4,360)</f>
        <v>200</v>
      </c>
      <c r="E5" s="152"/>
      <c r="F5" s="151">
        <f>MOD('New RPD &amp; RPB'!$E7-F4,360)</f>
        <v>204</v>
      </c>
      <c r="G5" s="152"/>
      <c r="H5" s="151">
        <f>MOD('New RPD &amp; RPB'!$E7-H4,360)</f>
        <v>208</v>
      </c>
      <c r="I5" s="152"/>
      <c r="J5" s="151">
        <f>MOD('New RPD &amp; RPB'!$E7-J4,360)</f>
        <v>212</v>
      </c>
      <c r="K5" s="152"/>
      <c r="L5" s="151">
        <f>MOD('New RPD &amp; RPB'!$E7-L4,360)</f>
        <v>216</v>
      </c>
      <c r="M5" s="152"/>
      <c r="N5" s="151">
        <f>MOD('New RPD &amp; RPB'!$E7-N4,360)</f>
        <v>220</v>
      </c>
      <c r="O5" s="152"/>
      <c r="P5" s="151">
        <f>MOD('New RPD &amp; RPB'!$E7-P4,360)</f>
        <v>224</v>
      </c>
      <c r="Q5" s="152"/>
      <c r="R5" s="151">
        <f>MOD('New RPD &amp; RPB'!$E7-R4,360)</f>
        <v>228</v>
      </c>
      <c r="S5" s="152"/>
      <c r="T5" s="151">
        <f>MOD('New RPD &amp; RPB'!$E7-T4,360)</f>
        <v>232</v>
      </c>
      <c r="U5" s="152"/>
      <c r="V5" s="151">
        <f>MOD('New RPD &amp; RPB'!$E7-V4,360)</f>
        <v>236</v>
      </c>
      <c r="W5" s="152"/>
      <c r="X5" s="151">
        <f>MOD('New RPD &amp; RPB'!$E7-X4,360)</f>
        <v>240</v>
      </c>
      <c r="Y5" s="152"/>
    </row>
    <row r="6" spans="1:27" ht="15" customHeight="1" thickTop="1" x14ac:dyDescent="0.25">
      <c r="A6" s="142" t="s">
        <v>28</v>
      </c>
      <c r="B6" s="153">
        <f>B4-4</f>
        <v>20</v>
      </c>
      <c r="C6" s="136">
        <f>MOD('New RPD &amp; RPB'!E$6-B6,360)</f>
        <v>268</v>
      </c>
      <c r="D6" s="10">
        <f>$D$31*$D$30/($D$30-D$4+$B6)</f>
        <v>0.65</v>
      </c>
      <c r="E6" s="11">
        <f>IF('New RPD &amp; RPB'!$H$8&gt;0,90,270)+(D$4+$B6)/2*$W$31</f>
        <v>293.30521272141846</v>
      </c>
      <c r="F6" s="82">
        <f>$D$31*$D$30/($D$30-F$4+$B6)</f>
        <v>0.69062500000000004</v>
      </c>
      <c r="G6" s="92">
        <f>IF('New RPD &amp; RPB'!$H$8&gt;0,90,270)+(F$4+$B6)/2*$W$31</f>
        <v>290.97469144927658</v>
      </c>
      <c r="H6" s="10">
        <f>$D$31*$D$30/($D$30-H$4+$B6)</f>
        <v>0.73666666666666669</v>
      </c>
      <c r="I6" s="11">
        <f>IF('New RPD &amp; RPB'!$H$8&gt;0,90,270)+(H$4+$B6)/2*$W$31</f>
        <v>288.64417017713475</v>
      </c>
      <c r="J6" s="82">
        <f>$D$31*$D$30/($D$30-J$4+$B6)</f>
        <v>0.78928571428571437</v>
      </c>
      <c r="K6" s="92">
        <f>IF('New RPD &amp; RPB'!$H$8&gt;0,90,270)+(J$4+$B6)/2*$W$31</f>
        <v>286.31364890499287</v>
      </c>
      <c r="L6" s="10">
        <f>$D$31*$D$30/($D$30-L$4+$B6)</f>
        <v>0.85000000000000009</v>
      </c>
      <c r="M6" s="11">
        <f>IF('New RPD &amp; RPB'!$H$8&gt;0,90,270)+(L$4+$B6)/2*$W$31</f>
        <v>283.98312763285105</v>
      </c>
      <c r="N6" s="82">
        <f>$D$31*$D$30/($D$30-N$4+$B6)</f>
        <v>0.92083333333333339</v>
      </c>
      <c r="O6" s="92">
        <f>IF('New RPD &amp; RPB'!$H$8&gt;0,90,270)+(N$4+$B6)/2*$W$31</f>
        <v>281.65260636070923</v>
      </c>
      <c r="P6" s="10">
        <f>$D$31*$D$30/($D$30-P$4+$B6)</f>
        <v>1.0045454545454546</v>
      </c>
      <c r="Q6" s="11">
        <f>IF('New RPD &amp; RPB'!$H$8&gt;0,90,270)+(P$4+$B6)/2*$W$31</f>
        <v>279.32208508856735</v>
      </c>
      <c r="R6" s="82">
        <f>$D$31*$D$30/($D$30-R$4+$B6)</f>
        <v>1.105</v>
      </c>
      <c r="S6" s="92">
        <f>IF('New RPD &amp; RPB'!$H$8&gt;0,90,270)+(R$4+$B6)/2*$W$31</f>
        <v>276.99156381642553</v>
      </c>
      <c r="T6" s="10">
        <f>$D$31*$D$30/($D$30-T$4+$B6)</f>
        <v>1.2277777777777779</v>
      </c>
      <c r="U6" s="11">
        <f>IF('New RPD &amp; RPB'!$H$8&gt;0,90,270)+(T$4+$B6)/2*$W$31</f>
        <v>274.6610425442837</v>
      </c>
      <c r="V6" s="82">
        <f>$D$31*$D$30/($D$30-V$4+$B6)</f>
        <v>1.3812500000000001</v>
      </c>
      <c r="W6" s="92">
        <f>IF('New RPD &amp; RPB'!$H$8&gt;0,90,270)+(V$4+$B6)/2*$W$31</f>
        <v>272.33052127214182</v>
      </c>
      <c r="X6" s="10">
        <f>$D$31*$D$30/($D$30-X$4+$B6)</f>
        <v>1.5785714285714287</v>
      </c>
      <c r="Y6" s="11">
        <f>IF('New RPD &amp; RPB'!$H$8&gt;0,90,270)+(X$4+$B6)/2*$W$31</f>
        <v>270</v>
      </c>
    </row>
    <row r="7" spans="1:27" ht="15" customHeight="1" thickBot="1" x14ac:dyDescent="0.3">
      <c r="A7" s="142"/>
      <c r="B7" s="149"/>
      <c r="C7" s="137"/>
      <c r="D7" s="12">
        <f>SQRT(POWER($F$30-($F$31+SIN(RADIANS(E6+$E$30-$B6))*D6),2)+POWER($G$30-($G$31+COS(RADIANS(E6+$E$30-$B6))*D6),2))</f>
        <v>0.89314386430985371</v>
      </c>
      <c r="E7" s="13">
        <f>MOD(DEGREES(ATAN2($G$30-($G$31+COS(RADIANS(E6+$E$30-$B6))*D6),$F$30-($F$31+SIN(RADIANS(E6+$E$30-$B6))*D6))),360)</f>
        <v>300.43199653803447</v>
      </c>
      <c r="F7" s="87">
        <f>SQRT(POWER($F$30-($F$31+SIN(RADIANS(G6+$E$30-$B6))*F6),2)+POWER($G$30-($G$31+COS(RADIANS(G6+$E$30-$B6))*F6),2))</f>
        <v>0.92788906067310173</v>
      </c>
      <c r="G7" s="93">
        <f>MOD(DEGREES(ATAN2($G$30-($G$31+COS(RADIANS(G6+$E$30-$B6))*F6),$F$30-($F$31+SIN(RADIANS(G6+$E$30-$B6))*F6))),360)</f>
        <v>302.59939659575588</v>
      </c>
      <c r="H7" s="12">
        <f>SQRT(POWER($F$30-($F$31+SIN(RADIANS(I6+$E$30-$B6))*H6),2)+POWER($G$30-($G$31+COS(RADIANS(I6+$E$30-$B6))*H6),2))</f>
        <v>0.96841485392888516</v>
      </c>
      <c r="I7" s="13">
        <f>MOD(DEGREES(ATAN2($G$30-($G$31+COS(RADIANS(I6+$E$30-$B6))*H6),$F$30-($F$31+SIN(RADIANS(I6+$E$30-$B6))*H6))),360)</f>
        <v>304.79478442869168</v>
      </c>
      <c r="J7" s="87">
        <f>SQRT(POWER($F$30-($F$31+SIN(RADIANS(K6+$E$30-$B6))*J6),2)+POWER($G$30-($G$31+COS(RADIANS(K6+$E$30-$B6))*J6),2))</f>
        <v>1.0158653227800885</v>
      </c>
      <c r="K7" s="93">
        <f>MOD(DEGREES(ATAN2($G$30-($G$31+COS(RADIANS(K6+$E$30-$B6))*J6),$F$30-($F$31+SIN(RADIANS(K6+$E$30-$B6))*J6))),360)</f>
        <v>307.0165316673893</v>
      </c>
      <c r="L7" s="12">
        <f>SQRT(POWER($F$30-($F$31+SIN(RADIANS(M6+$E$30-$B6))*L6),2)+POWER($G$30-($G$31+COS(RADIANS(M6+$E$30-$B6))*L6),2))</f>
        <v>1.0717372640035228</v>
      </c>
      <c r="M7" s="13">
        <f>MOD(DEGREES(ATAN2($G$30-($G$31+COS(RADIANS(M6+$E$30-$B6))*L6),$F$30-($F$31+SIN(RADIANS(M6+$E$30-$B6))*L6))),360)</f>
        <v>309.26359117436243</v>
      </c>
      <c r="N7" s="87">
        <f>SQRT(POWER($F$30-($F$31+SIN(RADIANS(O6+$E$30-$B6))*N6),2)+POWER($G$30-($G$31+COS(RADIANS(O6+$E$30-$B6))*N6),2))</f>
        <v>1.1380289505681354</v>
      </c>
      <c r="O7" s="93">
        <f>MOD(DEGREES(ATAN2($G$30-($G$31+COS(RADIANS(O6+$E$30-$B6))*N6),$F$30-($F$31+SIN(RADIANS(O6+$E$30-$B6))*N6))),360)</f>
        <v>311.5355773222978</v>
      </c>
      <c r="P7" s="12">
        <f>SQRT(POWER($F$30-($F$31+SIN(RADIANS(Q6+$E$30-$B6))*P6),2)+POWER($G$30-($G$31+COS(RADIANS(Q6+$E$30-$B6))*P6),2))</f>
        <v>1.2174700868638137</v>
      </c>
      <c r="Q7" s="13">
        <f>MOD(DEGREES(ATAN2($G$30-($G$31+COS(RADIANS(Q6+$E$30-$B6))*P6),$F$30-($F$31+SIN(RADIANS(Q6+$E$30-$B6))*P6))),360)</f>
        <v>313.8328346818974</v>
      </c>
      <c r="R7" s="87">
        <f>SQRT(POWER($F$30-($F$31+SIN(RADIANS(S6+$E$30-$B6))*R6),2)+POWER($G$30-($G$31+COS(RADIANS(S6+$E$30-$B6))*R6),2))</f>
        <v>1.3138897722121399</v>
      </c>
      <c r="S7" s="93">
        <f>MOD(DEGREES(ATAN2($G$30-($G$31+COS(RADIANS(S6+$E$30-$B6))*R6),$F$30-($F$31+SIN(RADIANS(S6+$E$30-$B6))*R6))),360)</f>
        <v>316.15649361205828</v>
      </c>
      <c r="T7" s="12">
        <f>SQRT(POWER($F$30-($F$31+SIN(RADIANS(U6+$E$30-$B6))*T6),2)+POWER($G$30-($G$31+COS(RADIANS(U6+$E$30-$B6))*T6),2))</f>
        <v>1.4328297889492101</v>
      </c>
      <c r="U7" s="13">
        <f>MOD(DEGREES(ATAN2($G$30-($G$31+COS(RADIANS(U6+$E$30-$B6))*T6),$F$30-($F$31+SIN(RADIANS(U6+$E$30-$B6))*T6))),360)</f>
        <v>318.50851156996623</v>
      </c>
      <c r="V7" s="87">
        <f>SQRT(POWER($F$30-($F$31+SIN(RADIANS(W6+$E$30-$B6))*V6),2)+POWER($G$30-($G$31+COS(RADIANS(W6+$E$30-$B6))*V6),2))</f>
        <v>1.5826178555850754</v>
      </c>
      <c r="W7" s="93">
        <f>MOD(DEGREES(ATAN2($G$30-($G$31+COS(RADIANS(W6+$E$30-$B6))*V6),$F$30-($F$31+SIN(RADIANS(W6+$E$30-$B6))*V6))),360)</f>
        <v>320.89169909079948</v>
      </c>
      <c r="X7" s="12">
        <f>SQRT(POWER($F$30-($F$31+SIN(RADIANS(Y6+$E$30-$B6))*X6),2)+POWER($G$30-($G$31+COS(RADIANS(Y6+$E$30-$B6))*X6),2))</f>
        <v>1.7763607977515263</v>
      </c>
      <c r="Y7" s="13">
        <f>MOD(DEGREES(ATAN2($G$30-($G$31+COS(RADIANS(Y6+$E$30-$B6))*X6),$F$30-($F$31+SIN(RADIANS(Y6+$E$30-$B6))*X6))),360)</f>
        <v>323.3097292607664</v>
      </c>
    </row>
    <row r="8" spans="1:27" ht="15" customHeight="1" thickTop="1" x14ac:dyDescent="0.25">
      <c r="A8" s="142"/>
      <c r="B8" s="153">
        <f>B6-4</f>
        <v>16</v>
      </c>
      <c r="C8" s="136">
        <f>MOD('New RPD &amp; RPB'!E$6-B8,360)</f>
        <v>272</v>
      </c>
      <c r="D8" s="10">
        <f>$D$31*$D$30/($D$30-D$4+$B8)</f>
        <v>0.61388888888888893</v>
      </c>
      <c r="E8" s="95">
        <f>IF('New RPD &amp; RPB'!$H$8&gt;0,90,270)+(D$4+$B8)/2*$W$31</f>
        <v>290.97469144927658</v>
      </c>
      <c r="F8" s="79">
        <f>$D$31*$D$30/($D$30-F$4+$B8)</f>
        <v>0.65</v>
      </c>
      <c r="G8" s="94">
        <f>IF('New RPD &amp; RPB'!$H$8&gt;0,90,270)+(F$4+$B8)/2*$W$31</f>
        <v>288.64417017713475</v>
      </c>
      <c r="H8" s="10">
        <f>$D$31*$D$30/($D$30-H$4+$B8)</f>
        <v>0.69062500000000004</v>
      </c>
      <c r="I8" s="95">
        <f>IF('New RPD &amp; RPB'!$H$8&gt;0,90,270)+(H$4+$B8)/2*$W$31</f>
        <v>286.31364890499287</v>
      </c>
      <c r="J8" s="79">
        <f>$D$31*$D$30/($D$30-J$4+$B8)</f>
        <v>0.73666666666666669</v>
      </c>
      <c r="K8" s="94">
        <f>IF('New RPD &amp; RPB'!$H$8&gt;0,90,270)+(J$4+$B8)/2*$W$31</f>
        <v>283.98312763285105</v>
      </c>
      <c r="L8" s="10">
        <f>$D$31*$D$30/($D$30-L$4+$B8)</f>
        <v>0.78928571428571437</v>
      </c>
      <c r="M8" s="95">
        <f>IF('New RPD &amp; RPB'!$H$8&gt;0,90,270)+(L$4+$B8)/2*$W$31</f>
        <v>281.65260636070923</v>
      </c>
      <c r="N8" s="79">
        <f>$D$31*$D$30/($D$30-N$4+$B8)</f>
        <v>0.85000000000000009</v>
      </c>
      <c r="O8" s="94">
        <f>IF('New RPD &amp; RPB'!$H$8&gt;0,90,270)+(N$4+$B8)/2*$W$31</f>
        <v>279.32208508856735</v>
      </c>
      <c r="P8" s="10">
        <f>$D$31*$D$30/($D$30-P$4+$B8)</f>
        <v>0.92083333333333339</v>
      </c>
      <c r="Q8" s="95">
        <f>IF('New RPD &amp; RPB'!$H$8&gt;0,90,270)+(P$4+$B8)/2*$W$31</f>
        <v>276.99156381642553</v>
      </c>
      <c r="R8" s="79">
        <f>$D$31*$D$30/($D$30-R$4+$B8)</f>
        <v>1.0045454545454546</v>
      </c>
      <c r="S8" s="94">
        <f>IF('New RPD &amp; RPB'!$H$8&gt;0,90,270)+(R$4+$B8)/2*$W$31</f>
        <v>274.6610425442837</v>
      </c>
      <c r="T8" s="10">
        <f>$D$31*$D$30/($D$30-T$4+$B8)</f>
        <v>1.105</v>
      </c>
      <c r="U8" s="95">
        <f>IF('New RPD &amp; RPB'!$H$8&gt;0,90,270)+(T$4+$B8)/2*$W$31</f>
        <v>272.33052127214182</v>
      </c>
      <c r="V8" s="79">
        <f>$D$31*$D$30/($D$30-V$4+$B8)</f>
        <v>1.2277777777777779</v>
      </c>
      <c r="W8" s="94">
        <f>IF('New RPD &amp; RPB'!$H$8&gt;0,90,270)+(V$4+$B8)/2*$W$31</f>
        <v>270</v>
      </c>
      <c r="X8" s="10">
        <f>$D$31*$D$30/($D$30-X$4+$B8)</f>
        <v>1.3812500000000001</v>
      </c>
      <c r="Y8" s="95">
        <f>IF('New RPD &amp; RPB'!$H$8&gt;0,90,270)+(X$4+$B8)/2*$W$31</f>
        <v>267.66947872785818</v>
      </c>
    </row>
    <row r="9" spans="1:27" ht="15" customHeight="1" thickBot="1" x14ac:dyDescent="0.3">
      <c r="A9" s="142"/>
      <c r="B9" s="149"/>
      <c r="C9" s="137"/>
      <c r="D9" s="96">
        <f>SQRT(POWER($F$30-($F$31+SIN(RADIANS(E8+$E$30-$B8))*D8),2)+POWER($G$30-($G$31+COS(RADIANS(E8+$E$30-$B8))*D8),2))</f>
        <v>0.87034478665997395</v>
      </c>
      <c r="E9" s="97">
        <f>MOD(DEGREES(ATAN2($G$30-($G$31+COS(RADIANS(E8+$E$30-$B8))*D8),$F$30-($F$31+SIN(RADIANS(E8+$E$30-$B8))*D8))),360)</f>
        <v>298.25415214277882</v>
      </c>
      <c r="F9" s="17">
        <f>SQRT(POWER($F$30-($F$31+SIN(RADIANS(G8+$E$30-$B8))*F8),2)+POWER($G$30-($G$31+COS(RADIANS(G8+$E$30-$B8))*F8),2))</f>
        <v>0.90054202811442774</v>
      </c>
      <c r="G9" s="14">
        <f>MOD(DEGREES(ATAN2($G$30-($G$31+COS(RADIANS(G8+$E$30-$B8))*F8),$F$30-($F$31+SIN(RADIANS(G8+$E$30-$B8))*F8))),360)</f>
        <v>300.3535980999543</v>
      </c>
      <c r="H9" s="96">
        <f>SQRT(POWER($F$30-($F$31+SIN(RADIANS(I8+$E$30-$B8))*H8),2)+POWER($G$30-($G$31+COS(RADIANS(I8+$E$30-$B8))*H8),2))</f>
        <v>0.9356238069091507</v>
      </c>
      <c r="I9" s="97">
        <f>MOD(DEGREES(ATAN2($G$30-($G$31+COS(RADIANS(I8+$E$30-$B8))*H8),$F$30-($F$31+SIN(RADIANS(I8+$E$30-$B8))*H8))),360)</f>
        <v>302.48172271521628</v>
      </c>
      <c r="J9" s="17">
        <f>SQRT(POWER($F$30-($F$31+SIN(RADIANS(K8+$E$30-$B8))*J8),2)+POWER($G$30-($G$31+COS(RADIANS(K8+$E$30-$B8))*J8),2))</f>
        <v>0.97647940114767784</v>
      </c>
      <c r="K9" s="14">
        <f>MOD(DEGREES(ATAN2($G$30-($G$31+COS(RADIANS(K8+$E$30-$B8))*J8),$F$30-($F$31+SIN(RADIANS(K8+$E$30-$B8))*J8))),360)</f>
        <v>304.63670172870508</v>
      </c>
      <c r="L9" s="96">
        <f>SQRT(POWER($F$30-($F$31+SIN(RADIANS(M8+$E$30-$B8))*L8),2)+POWER($G$30-($G$31+COS(RADIANS(M8+$E$30-$B8))*L8),2))</f>
        <v>1.024251772931551</v>
      </c>
      <c r="M9" s="97">
        <f>MOD(DEGREES(ATAN2($G$30-($G$31+COS(RADIANS(M8+$E$30-$B8))*L8),$F$30-($F$31+SIN(RADIANS(M8+$E$30-$B8))*L8))),360)</f>
        <v>306.81722151432928</v>
      </c>
      <c r="N9" s="17">
        <f>SQRT(POWER($F$30-($F$31+SIN(RADIANS(O8+$E$30-$B8))*N8),2)+POWER($G$30-($G$31+COS(RADIANS(O8+$E$30-$B8))*N8),2))</f>
        <v>1.0804366934740124</v>
      </c>
      <c r="O9" s="14">
        <f>MOD(DEGREES(ATAN2($G$30-($G$31+COS(RADIANS(O8+$E$30-$B8))*N8),$F$30-($F$31+SIN(RADIANS(O8+$E$30-$B8))*N8))),360)</f>
        <v>309.0225641724482</v>
      </c>
      <c r="P9" s="96">
        <f>SQRT(POWER($F$30-($F$31+SIN(RADIANS(Q8+$E$30-$B8))*P8),2)+POWER($G$30-($G$31+COS(RADIANS(Q8+$E$30-$B8))*P8),2))</f>
        <v>1.1470314995616397</v>
      </c>
      <c r="Q9" s="97">
        <f>MOD(DEGREES(ATAN2($G$30-($G$31+COS(RADIANS(Q8+$E$30-$B8))*P8),$F$30-($F$31+SIN(RADIANS(Q8+$E$30-$B8))*P8))),360)</f>
        <v>311.25268367253051</v>
      </c>
      <c r="R9" s="17">
        <f>SQRT(POWER($F$30-($F$31+SIN(RADIANS(S8+$E$30-$B8))*R8),2)+POWER($G$30-($G$31+COS(RADIANS(S8+$E$30-$B8))*R8),2))</f>
        <v>1.2267650404787442</v>
      </c>
      <c r="S9" s="14">
        <f>MOD(DEGREES(ATAN2($G$30-($G$31+COS(RADIANS(S8+$E$30-$B8))*R8),$F$30-($F$31+SIN(RADIANS(S8+$E$30-$B8))*R8))),360)</f>
        <v>313.50827145672594</v>
      </c>
      <c r="T9" s="96">
        <f>SQRT(POWER($F$30-($F$31+SIN(RADIANS(U8+$E$30-$B8))*T8),2)+POWER($G$30-($G$31+COS(RADIANS(U8+$E$30-$B8))*T8),2))</f>
        <v>1.3234656265092288</v>
      </c>
      <c r="U9" s="97">
        <f>MOD(DEGREES(ATAN2($G$30-($G$31+COS(RADIANS(U8+$E$30-$B8))*T8),$F$30-($F$31+SIN(RADIANS(U8+$E$30-$B8))*T8))),360)</f>
        <v>315.79081028577559</v>
      </c>
      <c r="V9" s="17">
        <f>SQRT(POWER($F$30-($F$31+SIN(RADIANS(W8+$E$30-$B8))*V8),2)+POWER($G$30-($G$31+COS(RADIANS(W8+$E$30-$B8))*V8),2))</f>
        <v>1.4426742954373499</v>
      </c>
      <c r="W9" s="14">
        <f>MOD(DEGREES(ATAN2($G$30-($G$31+COS(RADIANS(W8+$E$30-$B8))*V8),$F$30-($F$31+SIN(RADIANS(W8+$E$30-$B8))*V8))),360)</f>
        <v>318.10261534657434</v>
      </c>
      <c r="X9" s="96">
        <f>SQRT(POWER($F$30-($F$31+SIN(RADIANS(Y8+$E$30-$B8))*X8),2)+POWER($G$30-($G$31+COS(RADIANS(Y8+$E$30-$B8))*X8),2))</f>
        <v>1.5927180378249366</v>
      </c>
      <c r="Y9" s="97">
        <f>MOD(DEGREES(ATAN2($G$30-($G$31+COS(RADIANS(Y8+$E$30-$B8))*X8),$F$30-($F$31+SIN(RADIANS(Y8+$E$30-$B8))*X8))),360)</f>
        <v>320.44686167454654</v>
      </c>
    </row>
    <row r="10" spans="1:27" ht="15" customHeight="1" thickTop="1" x14ac:dyDescent="0.25">
      <c r="A10" s="142"/>
      <c r="B10" s="153">
        <f>B8-4</f>
        <v>12</v>
      </c>
      <c r="C10" s="136">
        <f>MOD('New RPD &amp; RPB'!E$6-B10,360)</f>
        <v>276</v>
      </c>
      <c r="D10" s="10">
        <f>$D$31*$D$30/($D$30-D$4+$B10)</f>
        <v>0.58157894736842108</v>
      </c>
      <c r="E10" s="11">
        <f>IF('New RPD &amp; RPB'!$H$8&gt;0,90,270)+(D$4+$B10)/2*$W$31</f>
        <v>288.64417017713475</v>
      </c>
      <c r="F10" s="82">
        <f>$D$31*$D$30/($D$30-F$4+$B10)</f>
        <v>0.61388888888888893</v>
      </c>
      <c r="G10" s="92">
        <f>IF('New RPD &amp; RPB'!$H$8&gt;0,90,270)+(F$4+$B10)/2*$W$31</f>
        <v>286.31364890499287</v>
      </c>
      <c r="H10" s="10">
        <f>$D$31*$D$30/($D$30-H$4+$B10)</f>
        <v>0.65</v>
      </c>
      <c r="I10" s="11">
        <f>IF('New RPD &amp; RPB'!$H$8&gt;0,90,270)+(H$4+$B10)/2*$W$31</f>
        <v>283.98312763285105</v>
      </c>
      <c r="J10" s="82">
        <f>$D$31*$D$30/($D$30-J$4+$B10)</f>
        <v>0.69062500000000004</v>
      </c>
      <c r="K10" s="92">
        <f>IF('New RPD &amp; RPB'!$H$8&gt;0,90,270)+(J$4+$B10)/2*$W$31</f>
        <v>281.65260636070923</v>
      </c>
      <c r="L10" s="10">
        <f>$D$31*$D$30/($D$30-L$4+$B10)</f>
        <v>0.73666666666666669</v>
      </c>
      <c r="M10" s="11">
        <f>IF('New RPD &amp; RPB'!$H$8&gt;0,90,270)+(L$4+$B10)/2*$W$31</f>
        <v>279.32208508856735</v>
      </c>
      <c r="N10" s="82">
        <f>$D$31*$D$30/($D$30-N$4+$B10)</f>
        <v>0.78928571428571437</v>
      </c>
      <c r="O10" s="92">
        <f>IF('New RPD &amp; RPB'!$H$8&gt;0,90,270)+(N$4+$B10)/2*$W$31</f>
        <v>276.99156381642553</v>
      </c>
      <c r="P10" s="10">
        <f>$D$31*$D$30/($D$30-P$4+$B10)</f>
        <v>0.85000000000000009</v>
      </c>
      <c r="Q10" s="11">
        <f>IF('New RPD &amp; RPB'!$H$8&gt;0,90,270)+(P$4+$B10)/2*$W$31</f>
        <v>274.6610425442837</v>
      </c>
      <c r="R10" s="82">
        <f>$D$31*$D$30/($D$30-R$4+$B10)</f>
        <v>0.92083333333333339</v>
      </c>
      <c r="S10" s="92">
        <f>IF('New RPD &amp; RPB'!$H$8&gt;0,90,270)+(R$4+$B10)/2*$W$31</f>
        <v>272.33052127214182</v>
      </c>
      <c r="T10" s="10">
        <f>$D$31*$D$30/($D$30-T$4+$B10)</f>
        <v>1.0045454545454546</v>
      </c>
      <c r="U10" s="11">
        <f>IF('New RPD &amp; RPB'!$H$8&gt;0,90,270)+(T$4+$B10)/2*$W$31</f>
        <v>270</v>
      </c>
      <c r="V10" s="82">
        <f>$D$31*$D$30/($D$30-V$4+$B10)</f>
        <v>1.105</v>
      </c>
      <c r="W10" s="92">
        <f>IF('New RPD &amp; RPB'!$H$8&gt;0,90,270)+(V$4+$B10)/2*$W$31</f>
        <v>267.66947872785818</v>
      </c>
      <c r="X10" s="10">
        <f>$D$31*$D$30/($D$30-X$4+$B10)</f>
        <v>1.2277777777777779</v>
      </c>
      <c r="Y10" s="11">
        <f>IF('New RPD &amp; RPB'!$H$8&gt;0,90,270)+(X$4+$B10)/2*$W$31</f>
        <v>265.3389574557163</v>
      </c>
    </row>
    <row r="11" spans="1:27" ht="15" customHeight="1" thickBot="1" x14ac:dyDescent="0.3">
      <c r="A11" s="142"/>
      <c r="B11" s="149"/>
      <c r="C11" s="137"/>
      <c r="D11" s="12">
        <f>SQRT(POWER($F$30-($F$31+SIN(RADIANS(E10+$E$30-$B10))*D10),2)+POWER($G$30-($G$31+COS(RADIANS(E10+$E$30-$B10))*D10),2))</f>
        <v>0.85103709209486744</v>
      </c>
      <c r="E11" s="13">
        <f>MOD(DEGREES(ATAN2($G$30-($G$31+COS(RADIANS(E10+$E$30-$B10))*D10),$F$30-($F$31+SIN(RADIANS(E10+$E$30-$B10))*D10))),360)</f>
        <v>296.17608100473041</v>
      </c>
      <c r="F11" s="87">
        <f>SQRT(POWER($F$30-($F$31+SIN(RADIANS(G10+$E$30-$B10))*F10),2)+POWER($G$30-($G$31+COS(RADIANS(G10+$E$30-$B10))*F10),2))</f>
        <v>0.8773937600863434</v>
      </c>
      <c r="G11" s="93">
        <f>MOD(DEGREES(ATAN2($G$30-($G$31+COS(RADIANS(G10+$E$30-$B10))*F10),$F$30-($F$31+SIN(RADIANS(G10+$E$30-$B10))*F10))),360)</f>
        <v>298.20893876348379</v>
      </c>
      <c r="H11" s="12">
        <f>SQRT(POWER($F$30-($F$31+SIN(RADIANS(I10+$E$30-$B10))*H10),2)+POWER($G$30-($G$31+COS(RADIANS(I10+$E$30-$B10))*H10),2))</f>
        <v>0.90792737739073592</v>
      </c>
      <c r="I11" s="13">
        <f>MOD(DEGREES(ATAN2($G$30-($G$31+COS(RADIANS(I10+$E$30-$B10))*H10),$F$30-($F$31+SIN(RADIANS(I10+$E$30-$B10))*H10))),360)</f>
        <v>300.27109439444723</v>
      </c>
      <c r="J11" s="87">
        <f>SQRT(POWER($F$30-($F$31+SIN(RADIANS(K10+$E$30-$B10))*J10),2)+POWER($G$30-($G$31+COS(RADIANS(K10+$E$30-$B10))*J10),2))</f>
        <v>0.94334011815196817</v>
      </c>
      <c r="K11" s="93">
        <f>MOD(DEGREES(ATAN2($G$30-($G$31+COS(RADIANS(K10+$E$30-$B10))*J10),$F$30-($F$31+SIN(RADIANS(K10+$E$30-$B10))*J10))),360)</f>
        <v>302.36056257136875</v>
      </c>
      <c r="L11" s="12">
        <f>SQRT(POWER($F$30-($F$31+SIN(RADIANS(M10+$E$30-$B10))*L10),2)+POWER($G$30-($G$31+COS(RADIANS(M10+$E$30-$B10))*L10),2))</f>
        <v>0.98452015342022892</v>
      </c>
      <c r="M11" s="13">
        <f>MOD(DEGREES(ATAN2($G$30-($G$31+COS(RADIANS(M10+$E$30-$B10))*L10),$F$30-($F$31+SIN(RADIANS(M10+$E$30-$B10))*L10))),360)</f>
        <v>304.47579817937452</v>
      </c>
      <c r="N11" s="87">
        <f>SQRT(POWER($F$30-($F$31+SIN(RADIANS(O10+$E$30-$B10))*N10),2)+POWER($G$30-($G$31+COS(RADIANS(O10+$E$30-$B10))*N10),2))</f>
        <v>1.0326094228233325</v>
      </c>
      <c r="O11" s="93">
        <f>MOD(DEGREES(ATAN2($G$30-($G$31+COS(RADIANS(O10+$E$30-$B10))*N10),$F$30-($F$31+SIN(RADIANS(O10+$E$30-$B10))*N10))),360)</f>
        <v>306.61578372636313</v>
      </c>
      <c r="P11" s="12">
        <f>SQRT(POWER($F$30-($F$31+SIN(RADIANS(Q10+$E$30-$B10))*P10),2)+POWER($G$30-($G$31+COS(RADIANS(Q10+$E$30-$B10))*P10),2))</f>
        <v>1.0891027624978749</v>
      </c>
      <c r="Q11" s="13">
        <f>MOD(DEGREES(ATAN2($G$30-($G$31+COS(RADIANS(Q10+$E$30-$B10))*P10),$F$30-($F$31+SIN(RADIANS(Q10+$E$30-$B10))*P10))),360)</f>
        <v>308.78011020339903</v>
      </c>
      <c r="R11" s="87">
        <f>SQRT(POWER($F$30-($F$31+SIN(RADIANS(S10+$E$30-$B10))*R10),2)+POWER($G$30-($G$31+COS(RADIANS(S10+$E$30-$B10))*R10),2))</f>
        <v>1.1559966583243453</v>
      </c>
      <c r="S11" s="93">
        <f>MOD(DEGREES(ATAN2($G$30-($G$31+COS(RADIANS(S10+$E$30-$B10))*R10),$F$30-($F$31+SIN(RADIANS(S10+$E$30-$B10))*R10))),360)</f>
        <v>310.96904974433221</v>
      </c>
      <c r="T11" s="12">
        <f>SQRT(POWER($F$30-($F$31+SIN(RADIANS(U10+$E$30-$B10))*T10),2)+POWER($G$30-($G$31+COS(RADIANS(U10+$E$30-$B10))*T10),2))</f>
        <v>1.2360191833292766</v>
      </c>
      <c r="U11" s="13">
        <f>MOD(DEGREES(ATAN2($G$30-($G$31+COS(RADIANS(U10+$E$30-$B10))*T10),$F$30-($F$31+SIN(RADIANS(U10+$E$30-$B10))*T10))),360)</f>
        <v>313.18361881838854</v>
      </c>
      <c r="V11" s="87">
        <f>SQRT(POWER($F$30-($F$31+SIN(RADIANS(W10+$E$30-$B10))*V10),2)+POWER($G$30-($G$31+COS(RADIANS(W10+$E$30-$B10))*V10),2))</f>
        <v>1.3329979302998614</v>
      </c>
      <c r="W11" s="93">
        <f>MOD(DEGREES(ATAN2($G$30-($G$31+COS(RADIANS(W10+$E$30-$B10))*V10),$F$30-($F$31+SIN(RADIANS(W10+$E$30-$B10))*V10))),360)</f>
        <v>315.4256309979138</v>
      </c>
      <c r="X11" s="12">
        <f>SQRT(POWER($F$30-($F$31+SIN(RADIANS(Y10+$E$30-$B10))*X10),2)+POWER($G$30-($G$31+COS(RADIANS(Y10+$E$30-$B10))*X10),2))</f>
        <v>1.4524732561030211</v>
      </c>
      <c r="Y11" s="13">
        <f>MOD(DEGREES(ATAN2($G$30-($G$31+COS(RADIANS(Y10+$E$30-$B10))*X10),$F$30-($F$31+SIN(RADIANS(Y10+$E$30-$B10))*X10))),360)</f>
        <v>317.69773850595584</v>
      </c>
    </row>
    <row r="12" spans="1:27" ht="15" customHeight="1" thickTop="1" x14ac:dyDescent="0.25">
      <c r="A12" s="142"/>
      <c r="B12" s="153">
        <f>B10-4</f>
        <v>8</v>
      </c>
      <c r="C12" s="136">
        <f>MOD('New RPD &amp; RPB'!E$6-B12,360)</f>
        <v>280</v>
      </c>
      <c r="D12" s="10">
        <f>$D$31*$D$30/($D$30-D$4+$B12)</f>
        <v>0.55249999999999999</v>
      </c>
      <c r="E12" s="95">
        <f>IF('New RPD &amp; RPB'!$H$8&gt;0,90,270)+(D$4+$B12)/2*$W$31</f>
        <v>286.31364890499287</v>
      </c>
      <c r="F12" s="79">
        <f>$D$31*$D$30/($D$30-F$4+$B12)</f>
        <v>0.58157894736842108</v>
      </c>
      <c r="G12" s="94">
        <f>IF('New RPD &amp; RPB'!$H$8&gt;0,90,270)+(F$4+$B12)/2*$W$31</f>
        <v>283.98312763285105</v>
      </c>
      <c r="H12" s="10">
        <f>$D$31*$D$30/($D$30-H$4+$B12)</f>
        <v>0.61388888888888893</v>
      </c>
      <c r="I12" s="95">
        <f>IF('New RPD &amp; RPB'!$H$8&gt;0,90,270)+(H$4+$B12)/2*$W$31</f>
        <v>281.65260636070923</v>
      </c>
      <c r="J12" s="79">
        <f>$D$31*$D$30/($D$30-J$4+$B12)</f>
        <v>0.65</v>
      </c>
      <c r="K12" s="94">
        <f>IF('New RPD &amp; RPB'!$H$8&gt;0,90,270)+(J$4+$B12)/2*$W$31</f>
        <v>279.32208508856735</v>
      </c>
      <c r="L12" s="10">
        <f>$D$31*$D$30/($D$30-L$4+$B12)</f>
        <v>0.69062500000000004</v>
      </c>
      <c r="M12" s="95">
        <f>IF('New RPD &amp; RPB'!$H$8&gt;0,90,270)+(L$4+$B12)/2*$W$31</f>
        <v>276.99156381642553</v>
      </c>
      <c r="N12" s="79">
        <f>$D$31*$D$30/($D$30-N$4+$B12)</f>
        <v>0.73666666666666669</v>
      </c>
      <c r="O12" s="94">
        <f>IF('New RPD &amp; RPB'!$H$8&gt;0,90,270)+(N$4+$B12)/2*$W$31</f>
        <v>274.6610425442837</v>
      </c>
      <c r="P12" s="10">
        <f>$D$31*$D$30/($D$30-P$4+$B12)</f>
        <v>0.78928571428571437</v>
      </c>
      <c r="Q12" s="95">
        <f>IF('New RPD &amp; RPB'!$H$8&gt;0,90,270)+(P$4+$B12)/2*$W$31</f>
        <v>272.33052127214182</v>
      </c>
      <c r="R12" s="79">
        <f>$D$31*$D$30/($D$30-R$4+$B12)</f>
        <v>0.85000000000000009</v>
      </c>
      <c r="S12" s="94">
        <f>IF('New RPD &amp; RPB'!$H$8&gt;0,90,270)+(R$4+$B12)/2*$W$31</f>
        <v>270</v>
      </c>
      <c r="T12" s="10">
        <f>$D$31*$D$30/($D$30-T$4+$B12)</f>
        <v>0.92083333333333339</v>
      </c>
      <c r="U12" s="95">
        <f>IF('New RPD &amp; RPB'!$H$8&gt;0,90,270)+(T$4+$B12)/2*$W$31</f>
        <v>267.66947872785818</v>
      </c>
      <c r="V12" s="79">
        <f>$D$31*$D$30/($D$30-V$4+$B12)</f>
        <v>1.0045454545454546</v>
      </c>
      <c r="W12" s="94">
        <f>IF('New RPD &amp; RPB'!$H$8&gt;0,90,270)+(V$4+$B12)/2*$W$31</f>
        <v>265.3389574557163</v>
      </c>
      <c r="X12" s="10">
        <f>$D$31*$D$30/($D$30-X$4+$B12)</f>
        <v>1.105</v>
      </c>
      <c r="Y12" s="95">
        <f>IF('New RPD &amp; RPB'!$H$8&gt;0,90,270)+(X$4+$B12)/2*$W$31</f>
        <v>263.00843618357447</v>
      </c>
    </row>
    <row r="13" spans="1:27" ht="15" customHeight="1" thickBot="1" x14ac:dyDescent="0.3">
      <c r="A13" s="142"/>
      <c r="B13" s="149"/>
      <c r="C13" s="137"/>
      <c r="D13" s="96">
        <f>SQRT(POWER($F$30-($F$31+SIN(RADIANS(E12+$E$30-$B12))*D12),2)+POWER($G$30-($G$31+COS(RADIANS(E12+$E$30-$B12))*D12),2))</f>
        <v>0.8346623073170818</v>
      </c>
      <c r="E13" s="97">
        <f>MOD(DEGREES(ATAN2($G$30-($G$31+COS(RADIANS(E12+$E$30-$B12))*D12),$F$30-($F$31+SIN(RADIANS(E12+$E$30-$B12))*D12))),360)</f>
        <v>294.19370718882175</v>
      </c>
      <c r="F13" s="17">
        <f>SQRT(POWER($F$30-($F$31+SIN(RADIANS(G12+$E$30-$B12))*F12),2)+POWER($G$30-($G$31+COS(RADIANS(G12+$E$30-$B12))*F12),2))</f>
        <v>0.85774342891238076</v>
      </c>
      <c r="G13" s="14">
        <f>MOD(DEGREES(ATAN2($G$30-($G$31+COS(RADIANS(G12+$E$30-$B12))*F12),$F$30-($F$31+SIN(RADIANS(G12+$E$30-$B12))*F12))),360)</f>
        <v>296.16151435699948</v>
      </c>
      <c r="H13" s="96">
        <f>SQRT(POWER($F$30-($F$31+SIN(RADIANS(I12+$E$30-$B12))*H12),2)+POWER($G$30-($G$31+COS(RADIANS(I12+$E$30-$B12))*H12),2))</f>
        <v>0.88443494507936582</v>
      </c>
      <c r="I13" s="97">
        <f>MOD(DEGREES(ATAN2($G$30-($G$31+COS(RADIANS(I12+$E$30-$B12))*H12),$F$30-($F$31+SIN(RADIANS(I12+$E$30-$B12))*H12))),360)</f>
        <v>298.15918003478993</v>
      </c>
      <c r="J13" s="17">
        <f>SQRT(POWER($F$30-($F$31+SIN(RADIANS(K12+$E$30-$B12))*J12),2)+POWER($G$30-($G$31+COS(RADIANS(K12+$E$30-$B12))*J12),2))</f>
        <v>0.91529925115610544</v>
      </c>
      <c r="K13" s="14">
        <f>MOD(DEGREES(ATAN2($G$30-($G$31+COS(RADIANS(K12+$E$30-$B12))*J12),$F$30-($F$31+SIN(RADIANS(K12+$E$30-$B12))*J12))),360)</f>
        <v>300.18459191711196</v>
      </c>
      <c r="L13" s="96">
        <f>SQRT(POWER($F$30-($F$31+SIN(RADIANS(M12+$E$30-$B12))*L12),2)+POWER($G$30-($G$31+COS(RADIANS(M12+$E$30-$B12))*L12),2))</f>
        <v>0.95103742848892026</v>
      </c>
      <c r="M13" s="97">
        <f>MOD(DEGREES(ATAN2($G$30-($G$31+COS(RADIANS(M12+$E$30-$B12))*L12),$F$30-($F$31+SIN(RADIANS(M12+$E$30-$B12))*L12))),360)</f>
        <v>302.23600926220132</v>
      </c>
      <c r="N13" s="17">
        <f>SQRT(POWER($F$30-($F$31+SIN(RADIANS(O12+$E$30-$B12))*N12),2)+POWER($G$30-($G$31+COS(RADIANS(O12+$E$30-$B12))*N12),2))</f>
        <v>0.9925366317307216</v>
      </c>
      <c r="O13" s="14">
        <f>MOD(DEGREES(ATAN2($G$30-($G$31+COS(RADIANS(O12+$E$30-$B12))*N12),$F$30-($F$31+SIN(RADIANS(O12+$E$30-$B12))*N12))),360)</f>
        <v>304.31215055132333</v>
      </c>
      <c r="P13" s="96">
        <f>SQRT(POWER($F$30-($F$31+SIN(RADIANS(Q12+$E$30-$B12))*P12),2)+POWER($G$30-($G$31+COS(RADIANS(Q12+$E$30-$B12))*P12),2))</f>
        <v>1.0409378670491216</v>
      </c>
      <c r="Q13" s="97">
        <f>MOD(DEGREES(ATAN2($G$30-($G$31+COS(RADIANS(Q12+$E$30-$B12))*P12),$F$30-($F$31+SIN(RADIANS(Q12+$E$30-$B12))*P12))),360)</f>
        <v>306.41227674407594</v>
      </c>
      <c r="R13" s="17">
        <f>SQRT(POWER($F$30-($F$31+SIN(RADIANS(S12+$E$30-$B12))*R12),2)+POWER($G$30-($G$31+COS(RADIANS(S12+$E$30-$B12))*R12),2))</f>
        <v>1.0977351212563879</v>
      </c>
      <c r="S13" s="14">
        <f>MOD(DEGREES(ATAN2($G$30-($G$31+COS(RADIANS(S12+$E$30-$B12))*R12),$F$30-($F$31+SIN(RADIANS(S12+$E$30-$B12))*R12))),360)</f>
        <v>308.53626844322923</v>
      </c>
      <c r="T13" s="96">
        <f>SQRT(POWER($F$30-($F$31+SIN(RADIANS(U12+$E$30-$B12))*T12),2)+POWER($G$30-($G$31+COS(RADIANS(U12+$E$30-$B12))*T12),2))</f>
        <v>1.1649241105028636</v>
      </c>
      <c r="U13" s="97">
        <f>MOD(DEGREES(ATAN2($G$30-($G$31+COS(RADIANS(U12+$E$30-$B12))*T12),$F$30-($F$31+SIN(RADIANS(U12+$E$30-$B12))*T12))),360)</f>
        <v>310.68469565146512</v>
      </c>
      <c r="V13" s="17">
        <f>SQRT(POWER($F$30-($F$31+SIN(RADIANS(W12+$E$30-$B12))*V12),2)+POWER($G$30-($G$31+COS(RADIANS(W12+$E$30-$B12))*V12),2))</f>
        <v>1.2452322071681798</v>
      </c>
      <c r="W13" s="14">
        <f>MOD(DEGREES(ATAN2($G$30-($G$31+COS(RADIANS(W12+$E$30-$B12))*V12),$F$30-($F$31+SIN(RADIANS(W12+$E$30-$B12))*V12))),360)</f>
        <v>312.85887914645332</v>
      </c>
      <c r="X13" s="96">
        <f>SQRT(POWER($F$30-($F$31+SIN(RADIANS(Y12+$E$30-$B12))*X12),2)+POWER($G$30-($G$31+COS(RADIANS(Y12+$E$30-$B12))*X12),2))</f>
        <v>1.3424863559064968</v>
      </c>
      <c r="Y13" s="97">
        <f>MOD(DEGREES(ATAN2($G$30-($G$31+COS(RADIANS(Y12+$E$30-$B12))*X12),$F$30-($F$31+SIN(RADIANS(Y12+$E$30-$B12))*X12))),360)</f>
        <v>315.06094275475738</v>
      </c>
    </row>
    <row r="14" spans="1:27" ht="15" customHeight="1" thickTop="1" x14ac:dyDescent="0.25">
      <c r="A14" s="142"/>
      <c r="B14" s="153">
        <f>B12-4</f>
        <v>4</v>
      </c>
      <c r="C14" s="136">
        <f>MOD('New RPD &amp; RPB'!E$6-B14,360)</f>
        <v>284</v>
      </c>
      <c r="D14" s="10">
        <f>$D$31*$D$30/($D$30-D$4+$B14)</f>
        <v>0.52619047619047621</v>
      </c>
      <c r="E14" s="11">
        <f>IF('New RPD &amp; RPB'!$H$8&gt;0,90,270)+(D$4+$B14)/2*$W$31</f>
        <v>283.98312763285105</v>
      </c>
      <c r="F14" s="82">
        <f>$D$31*$D$30/($D$30-F$4+$B14)</f>
        <v>0.55249999999999999</v>
      </c>
      <c r="G14" s="92">
        <f>IF('New RPD &amp; RPB'!$H$8&gt;0,90,270)+(F$4+$B14)/2*$W$31</f>
        <v>281.65260636070923</v>
      </c>
      <c r="H14" s="10">
        <f>$D$31*$D$30/($D$30-H$4+$B14)</f>
        <v>0.58157894736842108</v>
      </c>
      <c r="I14" s="11">
        <f>IF('New RPD &amp; RPB'!$H$8&gt;0,90,270)+(H$4+$B14)/2*$W$31</f>
        <v>279.32208508856735</v>
      </c>
      <c r="J14" s="82">
        <f>$D$31*$D$30/($D$30-J$4+$B14)</f>
        <v>0.61388888888888893</v>
      </c>
      <c r="K14" s="92">
        <f>IF('New RPD &amp; RPB'!$H$8&gt;0,90,270)+(J$4+$B14)/2*$W$31</f>
        <v>276.99156381642553</v>
      </c>
      <c r="L14" s="10">
        <f>$D$31*$D$30/($D$30-L$4+$B14)</f>
        <v>0.65</v>
      </c>
      <c r="M14" s="11">
        <f>IF('New RPD &amp; RPB'!$H$8&gt;0,90,270)+(L$4+$B14)/2*$W$31</f>
        <v>274.6610425442837</v>
      </c>
      <c r="N14" s="82">
        <f>$D$31*$D$30/($D$30-N$4+$B14)</f>
        <v>0.69062500000000004</v>
      </c>
      <c r="O14" s="92">
        <f>IF('New RPD &amp; RPB'!$H$8&gt;0,90,270)+(N$4+$B14)/2*$W$31</f>
        <v>272.33052127214182</v>
      </c>
      <c r="P14" s="10">
        <f>$D$31*$D$30/($D$30-P$4+$B14)</f>
        <v>0.73666666666666669</v>
      </c>
      <c r="Q14" s="11">
        <f>IF('New RPD &amp; RPB'!$H$8&gt;0,90,270)+(P$4+$B14)/2*$W$31</f>
        <v>270</v>
      </c>
      <c r="R14" s="82">
        <f>$D$31*$D$30/($D$30-R$4+$B14)</f>
        <v>0.78928571428571437</v>
      </c>
      <c r="S14" s="92">
        <f>IF('New RPD &amp; RPB'!$H$8&gt;0,90,270)+(R$4+$B14)/2*$W$31</f>
        <v>267.66947872785818</v>
      </c>
      <c r="T14" s="10">
        <f>$D$31*$D$30/($D$30-T$4+$B14)</f>
        <v>0.85000000000000009</v>
      </c>
      <c r="U14" s="11">
        <f>IF('New RPD &amp; RPB'!$H$8&gt;0,90,270)+(T$4+$B14)/2*$W$31</f>
        <v>265.3389574557163</v>
      </c>
      <c r="V14" s="82">
        <f>$D$31*$D$30/($D$30-V$4+$B14)</f>
        <v>0.92083333333333339</v>
      </c>
      <c r="W14" s="92">
        <f>IF('New RPD &amp; RPB'!$H$8&gt;0,90,270)+(V$4+$B14)/2*$W$31</f>
        <v>263.00843618357447</v>
      </c>
      <c r="X14" s="10">
        <f>$D$31*$D$30/($D$30-X$4+$B14)</f>
        <v>1.0045454545454546</v>
      </c>
      <c r="Y14" s="11">
        <f>IF('New RPD &amp; RPB'!$H$8&gt;0,90,270)+(X$4+$B14)/2*$W$31</f>
        <v>260.67791491143265</v>
      </c>
    </row>
    <row r="15" spans="1:27" ht="15.75" customHeight="1" thickBot="1" x14ac:dyDescent="0.3">
      <c r="A15" s="142"/>
      <c r="B15" s="149"/>
      <c r="C15" s="137"/>
      <c r="D15" s="12">
        <f>SQRT(POWER($F$30-($F$31+SIN(RADIANS(E14+$E$30-$B14))*D14),2)+POWER($G$30-($G$31+COS(RADIANS(E14+$E$30-$B14))*D14),2))</f>
        <v>0.82077128573035074</v>
      </c>
      <c r="E15" s="13">
        <f>MOD(DEGREES(ATAN2($G$30-($G$31+COS(RADIANS(E14+$E$30-$B14))*D14),$F$30-($F$31+SIN(RADIANS(E14+$E$30-$B14))*D14))),360)</f>
        <v>292.30285839042972</v>
      </c>
      <c r="F15" s="87">
        <f>SQRT(POWER($F$30-($F$31+SIN(RADIANS(G14+$E$30-$B14))*F14),2)+POWER($G$30-($G$31+COS(RADIANS(G14+$E$30-$B14))*F14),2))</f>
        <v>0.84103358333070721</v>
      </c>
      <c r="G15" s="93">
        <f>MOD(DEGREES(ATAN2($G$30-($G$31+COS(RADIANS(G14+$E$30-$B14))*F14),$F$30-($F$31+SIN(RADIANS(G14+$E$30-$B14))*F14))),360)</f>
        <v>294.20726735806221</v>
      </c>
      <c r="H15" s="12">
        <f>SQRT(POWER($F$30-($F$31+SIN(RADIANS(I14+$E$30-$B14))*H14),2)+POWER($G$30-($G$31+COS(RADIANS(I14+$E$30-$B14))*H14),2))</f>
        <v>0.86444690057544837</v>
      </c>
      <c r="I15" s="13">
        <f>MOD(DEGREES(ATAN2($G$30-($G$31+COS(RADIANS(I14+$E$30-$B14))*H14),$F$30-($F$31+SIN(RADIANS(I14+$E$30-$B14))*H14))),360)</f>
        <v>296.14204638687136</v>
      </c>
      <c r="J15" s="87">
        <f>SQRT(POWER($F$30-($F$31+SIN(RADIANS(K14+$E$30-$B14))*J14),2)+POWER($G$30-($G$31+COS(RADIANS(K14+$E$30-$B14))*J14),2))</f>
        <v>0.89146760003554826</v>
      </c>
      <c r="K15" s="93">
        <f>MOD(DEGREES(ATAN2($G$30-($G$31+COS(RADIANS(K14+$E$30-$B14))*J14),$F$30-($F$31+SIN(RADIANS(K14+$E$30-$B14))*J14))),360)</f>
        <v>298.10498879729511</v>
      </c>
      <c r="L15" s="12">
        <f>SQRT(POWER($F$30-($F$31+SIN(RADIANS(M14+$E$30-$B14))*L14),2)+POWER($G$30-($G$31+COS(RADIANS(M14+$E$30-$B14))*L14),2))</f>
        <v>0.92265700289141317</v>
      </c>
      <c r="M15" s="13">
        <f>MOD(DEGREES(ATAN2($G$30-($G$31+COS(RADIANS(M14+$E$30-$B14))*L14),$F$30-($F$31+SIN(RADIANS(M14+$E$30-$B14))*L14))),360)</f>
        <v>300.09419381370367</v>
      </c>
      <c r="N15" s="87">
        <f>SQRT(POWER($F$30-($F$31+SIN(RADIANS(O14+$E$30-$B14))*N14),2)+POWER($G$30-($G$31+COS(RADIANS(O14+$E$30-$B14))*N14),2))</f>
        <v>0.95871518331621353</v>
      </c>
      <c r="O15" s="93">
        <f>MOD(DEGREES(ATAN2($G$30-($G$31+COS(RADIANS(O14+$E$30-$B14))*N14),$F$30-($F$31+SIN(RADIANS(O14+$E$30-$B14))*N14))),360)</f>
        <v>302.10815279874748</v>
      </c>
      <c r="P15" s="12">
        <f>SQRT(POWER($F$30-($F$31+SIN(RADIANS(Q14+$E$30-$B14))*P14),2)+POWER($G$30-($G$31+COS(RADIANS(Q14+$E$30-$B14))*P14),2))</f>
        <v>1.0005283652754344</v>
      </c>
      <c r="Q15" s="13">
        <f>MOD(DEGREES(ATAN2($G$30-($G$31+COS(RADIANS(Q14+$E$30-$B14))*P14),$F$30-($F$31+SIN(RADIANS(Q14+$E$30-$B14))*P14))),360)</f>
        <v>304.14583297795787</v>
      </c>
      <c r="R15" s="87">
        <f>SQRT(POWER($F$30-($F$31+SIN(RADIANS(S14+$E$30-$B14))*R14),2)+POWER($G$30-($G$31+COS(RADIANS(S14+$E$30-$B14))*R14),2))</f>
        <v>1.0492367056534668</v>
      </c>
      <c r="S15" s="93">
        <f>MOD(DEGREES(ATAN2($G$30-($G$31+COS(RADIANS(S14+$E$30-$B14))*R14),$F$30-($F$31+SIN(RADIANS(S14+$E$30-$B14))*R14))),360)</f>
        <v>306.20675695963723</v>
      </c>
      <c r="T15" s="12">
        <f>SQRT(POWER($F$30-($F$31+SIN(RADIANS(U14+$E$30-$B14))*T14),2)+POWER($G$30-($G$31+COS(RADIANS(U14+$E$30-$B14))*T14),2))</f>
        <v>1.10633342320518</v>
      </c>
      <c r="U15" s="13">
        <f>MOD(DEGREES(ATAN2($G$30-($G$31+COS(RADIANS(U14+$E$30-$B14))*T14),$F$30-($F$31+SIN(RADIANS(U14+$E$30-$B14))*T14))),360)</f>
        <v>308.29107668644656</v>
      </c>
      <c r="V15" s="87">
        <f>SQRT(POWER($F$30-($F$31+SIN(RADIANS(W14+$E$30-$B14))*V14),2)+POWER($G$30-($G$31+COS(RADIANS(W14+$E$30-$B14))*V14),2))</f>
        <v>1.1738135416212228</v>
      </c>
      <c r="W15" s="93">
        <f>MOD(DEGREES(ATAN2($G$30-($G$31+COS(RADIANS(W14+$E$30-$B14))*V14),$F$30-($F$31+SIN(RADIANS(W14+$E$30-$B14))*V14))),360)</f>
        <v>310.39964080384431</v>
      </c>
      <c r="X15" s="12">
        <f>SQRT(POWER($F$30-($F$31+SIN(RADIANS(Y14+$E$30-$B14))*X14),2)+POWER($G$30-($G$31+COS(RADIANS(Y14+$E$30-$B14))*X14),2))</f>
        <v>1.2544038051263999</v>
      </c>
      <c r="Y15" s="13">
        <f>MOD(DEGREES(ATAN2($G$30-($G$31+COS(RADIANS(Y14+$E$30-$B14))*X14),$F$30-($F$31+SIN(RADIANS(Y14+$E$30-$B14))*X14))),360)</f>
        <v>312.53405473901819</v>
      </c>
    </row>
    <row r="16" spans="1:27" ht="15.75" customHeight="1" thickTop="1" x14ac:dyDescent="0.25">
      <c r="A16" s="142"/>
      <c r="B16" s="153">
        <f>B14-4</f>
        <v>0</v>
      </c>
      <c r="C16" s="136">
        <f>MOD('New RPD &amp; RPB'!E$6-B16,360)</f>
        <v>288</v>
      </c>
      <c r="D16" s="10">
        <f>$D$31*$D$30/($D$30-D$4+$B16)</f>
        <v>0.50227272727272732</v>
      </c>
      <c r="E16" s="95">
        <f>IF('New RPD &amp; RPB'!$H$8&gt;0,90,270)+(D$4+$B16)/2*$W$31</f>
        <v>281.65260636070923</v>
      </c>
      <c r="F16" s="79">
        <f>$D$31*$D$30/($D$30-F$4+$B16)</f>
        <v>0.52619047619047621</v>
      </c>
      <c r="G16" s="94">
        <f>IF('New RPD &amp; RPB'!$H$8&gt;0,90,270)+(F$4+$B16)/2*$W$31</f>
        <v>279.32208508856735</v>
      </c>
      <c r="H16" s="10">
        <f>$D$31*$D$30/($D$30-H$4+$B16)</f>
        <v>0.55249999999999999</v>
      </c>
      <c r="I16" s="95">
        <f>IF('New RPD &amp; RPB'!$H$8&gt;0,90,270)+(H$4+$B16)/2*$W$31</f>
        <v>276.99156381642553</v>
      </c>
      <c r="J16" s="79">
        <f>$D$31*$D$30/($D$30-J$4+$B16)</f>
        <v>0.58157894736842108</v>
      </c>
      <c r="K16" s="94">
        <f>IF('New RPD &amp; RPB'!$H$8&gt;0,90,270)+(J$4+$B16)/2*$W$31</f>
        <v>274.6610425442837</v>
      </c>
      <c r="L16" s="10">
        <f>$D$31*$D$30/($D$30-L$4+$B16)</f>
        <v>0.61388888888888893</v>
      </c>
      <c r="M16" s="95">
        <f>IF('New RPD &amp; RPB'!$H$8&gt;0,90,270)+(L$4+$B16)/2*$W$31</f>
        <v>272.33052127214182</v>
      </c>
      <c r="N16" s="79">
        <f>$D$31*$D$30/($D$30-N$4+$B16)</f>
        <v>0.65</v>
      </c>
      <c r="O16" s="94">
        <f>IF('New RPD &amp; RPB'!$H$8&gt;0,90,270)+(N$4+$B16)/2*$W$31</f>
        <v>270</v>
      </c>
      <c r="P16" s="10">
        <f>$D$31*$D$30/($D$30-P$4+$B16)</f>
        <v>0.69062500000000004</v>
      </c>
      <c r="Q16" s="95">
        <f>IF('New RPD &amp; RPB'!$H$8&gt;0,90,270)+(P$4+$B16)/2*$W$31</f>
        <v>267.66947872785818</v>
      </c>
      <c r="R16" s="79">
        <f>$D$31*$D$30/($D$30-R$4+$B16)</f>
        <v>0.73666666666666669</v>
      </c>
      <c r="S16" s="94">
        <f>IF('New RPD &amp; RPB'!$H$8&gt;0,90,270)+(R$4+$B16)/2*$W$31</f>
        <v>265.3389574557163</v>
      </c>
      <c r="T16" s="10">
        <f>$D$31*$D$30/($D$30-T$4+$B16)</f>
        <v>0.78928571428571437</v>
      </c>
      <c r="U16" s="95">
        <f>IF('New RPD &amp; RPB'!$H$8&gt;0,90,270)+(T$4+$B16)/2*$W$31</f>
        <v>263.00843618357447</v>
      </c>
      <c r="V16" s="79">
        <f>$D$31*$D$30/($D$30-V$4+$B16)</f>
        <v>0.85000000000000009</v>
      </c>
      <c r="W16" s="94">
        <f>IF('New RPD &amp; RPB'!$H$8&gt;0,90,270)+(V$4+$B16)/2*$W$31</f>
        <v>260.67791491143265</v>
      </c>
      <c r="X16" s="10">
        <f>$D$31*$D$30/($D$30-X$4+$B16)</f>
        <v>0.92083333333333339</v>
      </c>
      <c r="Y16" s="95">
        <f>IF('New RPD &amp; RPB'!$H$8&gt;0,90,270)+(X$4+$B16)/2*$W$31</f>
        <v>258.34739363929077</v>
      </c>
    </row>
    <row r="17" spans="1:25" ht="15.75" customHeight="1" thickBot="1" x14ac:dyDescent="0.3">
      <c r="A17" s="142"/>
      <c r="B17" s="149"/>
      <c r="C17" s="137"/>
      <c r="D17" s="96">
        <f>SQRT(POWER($F$30-($F$31+SIN(RADIANS(E16+$E$30-$B16))*D16),2)+POWER($G$30-($G$31+COS(RADIANS(E16+$E$30-$B16))*D16),2))</f>
        <v>0.80899919794371733</v>
      </c>
      <c r="E17" s="97">
        <f>MOD(DEGREES(ATAN2($G$30-($G$31+COS(RADIANS(E16+$E$30-$B16))*D16),$F$30-($F$31+SIN(RADIANS(E16+$E$30-$B16))*D16))),360)</f>
        <v>290.49934908482351</v>
      </c>
      <c r="F17" s="17">
        <f>SQRT(POWER($F$30-($F$31+SIN(RADIANS(G16+$E$30-$B16))*F16),2)+POWER($G$30-($G$31+COS(RADIANS(G16+$E$30-$B16))*F16),2))</f>
        <v>0.82681585567041294</v>
      </c>
      <c r="G17" s="14">
        <f>MOD(DEGREES(ATAN2($G$30-($G$31+COS(RADIANS(G16+$E$30-$B16))*F16),$F$30-($F$31+SIN(RADIANS(G16+$E$30-$B16))*F16))),360)</f>
        <v>292.34208138011138</v>
      </c>
      <c r="H17" s="96">
        <f>SQRT(POWER($F$30-($F$31+SIN(RADIANS(I16+$E$30-$B16))*H16),2)+POWER($G$30-($G$31+COS(RADIANS(I16+$E$30-$B16))*H16),2))</f>
        <v>0.84740674678739802</v>
      </c>
      <c r="I17" s="97">
        <f>MOD(DEGREES(ATAN2($G$30-($G$31+COS(RADIANS(I16+$E$30-$B16))*H16),$F$30-($F$31+SIN(RADIANS(I16+$E$30-$B16))*H16))),360)</f>
        <v>294.21565270818292</v>
      </c>
      <c r="J17" s="17">
        <f>SQRT(POWER($F$30-($F$31+SIN(RADIANS(K16+$E$30-$B16))*J16),2)+POWER($G$30-($G$31+COS(RADIANS(K16+$E$30-$B16))*J16),2))</f>
        <v>0.87114669122694322</v>
      </c>
      <c r="K17" s="14">
        <f>MOD(DEGREES(ATAN2($G$30-($G$31+COS(RADIANS(K16+$E$30-$B16))*J16),$F$30-($F$31+SIN(RADIANS(K16+$E$30-$B16))*J16))),360)</f>
        <v>296.11779257635419</v>
      </c>
      <c r="L17" s="96">
        <f>SQRT(POWER($F$30-($F$31+SIN(RADIANS(M16+$E$30-$B16))*L16),2)+POWER($G$30-($G$31+COS(RADIANS(M16+$E$30-$B16))*L16),2))</f>
        <v>0.89849100012223393</v>
      </c>
      <c r="M17" s="97">
        <f>MOD(DEGREES(ATAN2($G$30-($G$31+COS(RADIANS(M16+$E$30-$B16))*L16),$F$30-($F$31+SIN(RADIANS(M16+$E$30-$B16))*L16))),360)</f>
        <v>298.04647460098528</v>
      </c>
      <c r="N17" s="17">
        <f>SQRT(POWER($F$30-($F$31+SIN(RADIANS(O16+$E$30-$B16))*N16),2)+POWER($G$30-($G$31+COS(RADIANS(O16+$E$30-$B16))*N16),2))</f>
        <v>0.93000000000000016</v>
      </c>
      <c r="O17" s="14">
        <f>MOD(DEGREES(ATAN2($G$30-($G$31+COS(RADIANS(O16+$E$30-$B16))*N16),$F$30-($F$31+SIN(RADIANS(O16+$E$30-$B16))*N16))),360)</f>
        <v>300</v>
      </c>
      <c r="P17" s="96">
        <f>SQRT(POWER($F$30-($F$31+SIN(RADIANS(Q16+$E$30-$B16))*P16),2)+POWER($G$30-($G$31+COS(RADIANS(Q16+$E$30-$B16))*P16),2))</f>
        <v>0.96637283891158976</v>
      </c>
      <c r="Q17" s="97">
        <f>MOD(DEGREES(ATAN2($G$30-($G$31+COS(RADIANS(Q16+$E$30-$B16))*P16),$F$30-($F$31+SIN(RADIANS(Q16+$E$30-$B16))*P16))),360)</f>
        <v>301.97708022599375</v>
      </c>
      <c r="R17" s="17">
        <f>SQRT(POWER($F$30-($F$31+SIN(RADIANS(S16+$E$30-$B16))*R16),2)+POWER($G$30-($G$31+COS(RADIANS(S16+$E$30-$B16))*R16),2))</f>
        <v>1.0084948911611744</v>
      </c>
      <c r="S17" s="14">
        <f>MOD(DEGREES(ATAN2($G$30-($G$31+COS(RADIANS(S16+$E$30-$B16))*R16),$F$30-($F$31+SIN(RADIANS(S16+$E$30-$B16))*R16))),360)</f>
        <v>303.9769170649754</v>
      </c>
      <c r="T17" s="96">
        <f>SQRT(POWER($F$30-($F$31+SIN(RADIANS(U16+$E$30-$B16))*T16),2)+POWER($G$30-($G$31+COS(RADIANS(U16+$E$30-$B16))*T16),2))</f>
        <v>1.0575055439505971</v>
      </c>
      <c r="U17" s="97">
        <f>MOD(DEGREES(ATAN2($G$30-($G$31+COS(RADIANS(U16+$E$30-$B16))*T16),$F$30-($F$31+SIN(RADIANS(U16+$E$30-$B16))*T16))),360)</f>
        <v>305.99927880487957</v>
      </c>
      <c r="V17" s="17">
        <f>SQRT(POWER($F$30-($F$31+SIN(RADIANS(W16+$E$30-$B16))*V16),2)+POWER($G$30-($G$31+COS(RADIANS(W16+$E$30-$B16))*V16),2))</f>
        <v>1.1148973249921563</v>
      </c>
      <c r="W17" s="14">
        <f>MOD(DEGREES(ATAN2($G$30-($G$31+COS(RADIANS(W16+$E$30-$B16))*V16),$F$30-($F$31+SIN(RADIANS(W16+$E$30-$B16))*V16))),360)</f>
        <v>308.04457140638942</v>
      </c>
      <c r="X17" s="96">
        <f>SQRT(POWER($F$30-($F$31+SIN(RADIANS(Y16+$E$30-$B16))*X16),2)+POWER($G$30-($G$31+COS(RADIANS(Y16+$E$30-$B16))*X16),2))</f>
        <v>1.1826646390645397</v>
      </c>
      <c r="Y17" s="97">
        <f>MOD(DEGREES(ATAN2($G$30-($G$31+COS(RADIANS(Y16+$E$30-$B16))*X16),$F$30-($F$31+SIN(RADIANS(Y16+$E$30-$B16))*X16))),360)</f>
        <v>310.11390393822637</v>
      </c>
    </row>
    <row r="18" spans="1:25" ht="15.75" customHeight="1" thickTop="1" x14ac:dyDescent="0.25">
      <c r="A18" s="142"/>
      <c r="B18" s="153">
        <f>B16-4</f>
        <v>-4</v>
      </c>
      <c r="C18" s="136">
        <f>MOD('New RPD &amp; RPB'!E$6-B18,360)</f>
        <v>292</v>
      </c>
      <c r="D18" s="88">
        <f>$D$31*$D$30/($D$30-D$4+$B18)</f>
        <v>0.48043478260869571</v>
      </c>
      <c r="E18" s="98">
        <f>IF('New RPD &amp; RPB'!$H$8&gt;0,90,270)+(D$4+$B18)/2*$W$31</f>
        <v>279.32208508856735</v>
      </c>
      <c r="F18" s="82">
        <f>$D$31*$D$30/($D$30-F$4+$B18)</f>
        <v>0.50227272727272732</v>
      </c>
      <c r="G18" s="92">
        <f>IF('New RPD &amp; RPB'!$H$8&gt;0,90,270)+(F$4+$B18)/2*$W$31</f>
        <v>276.99156381642553</v>
      </c>
      <c r="H18" s="88">
        <f>$D$31*$D$30/($D$30-H$4+$B18)</f>
        <v>0.52619047619047621</v>
      </c>
      <c r="I18" s="98">
        <f>IF('New RPD &amp; RPB'!$H$8&gt;0,90,270)+(H$4+$B18)/2*$W$31</f>
        <v>274.6610425442837</v>
      </c>
      <c r="J18" s="82">
        <f>$D$31*$D$30/($D$30-J$4+$B18)</f>
        <v>0.55249999999999999</v>
      </c>
      <c r="K18" s="92">
        <f>IF('New RPD &amp; RPB'!$H$8&gt;0,90,270)+(J$4+$B18)/2*$W$31</f>
        <v>272.33052127214182</v>
      </c>
      <c r="L18" s="88">
        <f>$D$31*$D$30/($D$30-L$4+$B18)</f>
        <v>0.58157894736842108</v>
      </c>
      <c r="M18" s="98">
        <f>IF('New RPD &amp; RPB'!$H$8&gt;0,90,270)+(L$4+$B18)/2*$W$31</f>
        <v>270</v>
      </c>
      <c r="N18" s="82">
        <f>$D$31*$D$30/($D$30-N$4+$B18)</f>
        <v>0.61388888888888893</v>
      </c>
      <c r="O18" s="92">
        <f>IF('New RPD &amp; RPB'!$H$8&gt;0,90,270)+(N$4+$B18)/2*$W$31</f>
        <v>267.66947872785818</v>
      </c>
      <c r="P18" s="88">
        <f>$D$31*$D$30/($D$30-P$4+$B18)</f>
        <v>0.65</v>
      </c>
      <c r="Q18" s="98">
        <f>IF('New RPD &amp; RPB'!$H$8&gt;0,90,270)+(P$4+$B18)/2*$W$31</f>
        <v>265.3389574557163</v>
      </c>
      <c r="R18" s="82">
        <f>$D$31*$D$30/($D$30-R$4+$B18)</f>
        <v>0.69062500000000004</v>
      </c>
      <c r="S18" s="92">
        <f>IF('New RPD &amp; RPB'!$H$8&gt;0,90,270)+(R$4+$B18)/2*$W$31</f>
        <v>263.00843618357447</v>
      </c>
      <c r="T18" s="88">
        <f>$D$31*$D$30/($D$30-T$4+$B18)</f>
        <v>0.73666666666666669</v>
      </c>
      <c r="U18" s="98">
        <f>IF('New RPD &amp; RPB'!$H$8&gt;0,90,270)+(T$4+$B18)/2*$W$31</f>
        <v>260.67791491143265</v>
      </c>
      <c r="V18" s="82">
        <f>$D$31*$D$30/($D$30-V$4+$B18)</f>
        <v>0.78928571428571437</v>
      </c>
      <c r="W18" s="92">
        <f>IF('New RPD &amp; RPB'!$H$8&gt;0,90,270)+(V$4+$B18)/2*$W$31</f>
        <v>258.34739363929077</v>
      </c>
      <c r="X18" s="88">
        <f>$D$31*$D$30/($D$30-X$4+$B18)</f>
        <v>0.85000000000000009</v>
      </c>
      <c r="Y18" s="98">
        <f>IF('New RPD &amp; RPB'!$H$8&gt;0,90,270)+(X$4+$B18)/2*$W$31</f>
        <v>256.01687236714895</v>
      </c>
    </row>
    <row r="19" spans="1:25" ht="15" customHeight="1" thickBot="1" x14ac:dyDescent="0.3">
      <c r="A19" s="142"/>
      <c r="B19" s="149"/>
      <c r="C19" s="137"/>
      <c r="D19" s="99">
        <f>SQRT(POWER($F$30-($F$31+SIN(RADIANS(E18+$E$30-$B18))*D18),2)+POWER($G$30-($G$31+COS(RADIANS(E18+$E$30-$B18))*D18),2))</f>
        <v>0.7990470220390784</v>
      </c>
      <c r="E19" s="100">
        <f>MOD(DEGREES(ATAN2($G$30-($G$31+COS(RADIANS(E18+$E$30-$B18))*D18),$F$30-($F$31+SIN(RADIANS(E18+$E$30-$B18))*D18))),360)</f>
        <v>288.77904412053795</v>
      </c>
      <c r="F19" s="87">
        <f>SQRT(POWER($F$30-($F$31+SIN(RADIANS(G18+$E$30-$B18))*F18),2)+POWER($G$30-($G$31+COS(RADIANS(G18+$E$30-$B18))*F18),2))</f>
        <v>0.81472598906923277</v>
      </c>
      <c r="G19" s="93">
        <f>MOD(DEGREES(ATAN2($G$30-($G$31+COS(RADIANS(G18+$E$30-$B18))*F18),$F$30-($F$31+SIN(RADIANS(G18+$E$30-$B18))*F18))),360)</f>
        <v>290.56185456624883</v>
      </c>
      <c r="H19" s="99">
        <f>SQRT(POWER($F$30-($F$31+SIN(RADIANS(I18+$E$30-$B18))*H18),2)+POWER($G$30-($G$31+COS(RADIANS(I18+$E$30-$B18))*H18),2))</f>
        <v>0.83286684342551365</v>
      </c>
      <c r="I19" s="100">
        <f>MOD(DEGREES(ATAN2($G$30-($G$31+COS(RADIANS(I18+$E$30-$B18))*H18),$F$30-($F$31+SIN(RADIANS(I18+$E$30-$B18))*H18))),360)</f>
        <v>292.3759345753013</v>
      </c>
      <c r="J19" s="87">
        <f>SQRT(POWER($F$30-($F$31+SIN(RADIANS(K18+$E$30-$B18))*J18),2)+POWER($G$30-($G$31+COS(RADIANS(K18+$E$30-$B18))*J18),2))</f>
        <v>0.85378091659207977</v>
      </c>
      <c r="K19" s="93">
        <f>MOD(DEGREES(ATAN2($G$30-($G$31+COS(RADIANS(K18+$E$30-$B18))*J18),$F$30-($F$31+SIN(RADIANS(K18+$E$30-$B18))*J18))),360)</f>
        <v>294.21897797223647</v>
      </c>
      <c r="L19" s="99">
        <f>SQRT(POWER($F$30-($F$31+SIN(RADIANS(M18+$E$30-$B18))*L18),2)+POWER($G$30-($G$31+COS(RADIANS(M18+$E$30-$B18))*L18),2))</f>
        <v>0.8778420035487785</v>
      </c>
      <c r="M19" s="100">
        <f>MOD(DEGREES(ATAN2($G$30-($G$31+COS(RADIANS(M18+$E$30-$B18))*L18),$F$30-($F$31+SIN(RADIANS(M18+$E$30-$B18))*L18))),360)</f>
        <v>296.08886534812245</v>
      </c>
      <c r="N19" s="87">
        <f>SQRT(POWER($F$30-($F$31+SIN(RADIANS(O18+$E$30-$B18))*N18),2)+POWER($G$30-($G$31+COS(RADIANS(O18+$E$30-$B18))*N18),2))</f>
        <v>0.90550443667742631</v>
      </c>
      <c r="O19" s="93">
        <f>MOD(DEGREES(ATAN2($G$30-($G$31+COS(RADIANS(O18+$E$30-$B18))*N18),$F$30-($F$31+SIN(RADIANS(O18+$E$30-$B18))*N18))),360)</f>
        <v>297.98374380809662</v>
      </c>
      <c r="P19" s="99">
        <f>SQRT(POWER($F$30-($F$31+SIN(RADIANS(Q18+$E$30-$B18))*P18),2)+POWER($G$30-($G$31+COS(RADIANS(Q18+$E$30-$B18))*P18),2))</f>
        <v>0.93732762329164909</v>
      </c>
      <c r="Q19" s="100">
        <f>MOD(DEGREES(ATAN2($G$30-($G$31+COS(RADIANS(Q18+$E$30-$B18))*P18),$F$30-($F$31+SIN(RADIANS(Q18+$E$30-$B18))*P18))),360)</f>
        <v>299.90210727723877</v>
      </c>
      <c r="R19" s="87">
        <f>SQRT(POWER($F$30-($F$31+SIN(RADIANS(S18+$E$30-$B18))*R18),2)+POWER($G$30-($G$31+COS(RADIANS(S18+$E$30-$B18))*R18),2))</f>
        <v>0.97400986202815532</v>
      </c>
      <c r="S19" s="93">
        <f>MOD(DEGREES(ATAN2($G$30-($G$31+COS(RADIANS(S18+$E$30-$B18))*R18),$F$30-($F$31+SIN(RADIANS(S18+$E$30-$B18))*R18))),360)</f>
        <v>301.8428757385351</v>
      </c>
      <c r="T19" s="99">
        <f>SQRT(POWER($F$30-($F$31+SIN(RADIANS(U18+$E$30-$B18))*T18),2)+POWER($G$30-($G$31+COS(RADIANS(U18+$E$30-$B18))*T18),2))</f>
        <v>1.0164357541193954</v>
      </c>
      <c r="U19" s="100">
        <f>MOD(DEGREES(ATAN2($G$30-($G$31+COS(RADIANS(U18+$E$30-$B18))*T18),$F$30-($F$31+SIN(RADIANS(U18+$E$30-$B18))*T18))),360)</f>
        <v>303.8054719946557</v>
      </c>
      <c r="V19" s="87">
        <f>SQRT(POWER($F$30-($F$31+SIN(RADIANS(W18+$E$30-$B18))*V18),2)+POWER($G$30-($G$31+COS(RADIANS(W18+$E$30-$B18))*V18),2))</f>
        <v>1.0657439923530798</v>
      </c>
      <c r="W19" s="93">
        <f>MOD(DEGREES(ATAN2($G$30-($G$31+COS(RADIANS(W18+$E$30-$B18))*V18),$F$30-($F$31+SIN(RADIANS(W18+$E$30-$B18))*V18))),360)</f>
        <v>305.78989483495434</v>
      </c>
      <c r="X19" s="99">
        <f>SQRT(POWER($F$30-($F$31+SIN(RADIANS(Y18+$E$30-$B18))*X18),2)+POWER($G$30-($G$31+COS(RADIANS(Y18+$E$30-$B18))*X18),2))</f>
        <v>1.1234264863801731</v>
      </c>
      <c r="Y19" s="100">
        <f>MOD(DEGREES(ATAN2($G$30-($G$31+COS(RADIANS(Y18+$E$30-$B18))*X18),$F$30-($F$31+SIN(RADIANS(Y18+$E$30-$B18))*X18))),360)</f>
        <v>307.79678781245605</v>
      </c>
    </row>
    <row r="20" spans="1:25" ht="15" customHeight="1" thickTop="1" x14ac:dyDescent="0.25">
      <c r="A20" s="142"/>
      <c r="B20" s="153">
        <f>B18-4</f>
        <v>-8</v>
      </c>
      <c r="C20" s="136">
        <f>MOD('New RPD &amp; RPB'!E$6-B20,360)</f>
        <v>296</v>
      </c>
      <c r="D20" s="10">
        <f>$D$31*$D$30/($D$30-D$4+$B20)</f>
        <v>0.4604166666666667</v>
      </c>
      <c r="E20" s="95">
        <f>IF('New RPD &amp; RPB'!$H$8&gt;0,90,270)+(D$4+$B20)/2*$W$31</f>
        <v>276.99156381642553</v>
      </c>
      <c r="F20" s="79">
        <f>$D$31*$D$30/($D$30-F$4+$B20)</f>
        <v>0.48043478260869571</v>
      </c>
      <c r="G20" s="94">
        <f>IF('New RPD &amp; RPB'!$H$8&gt;0,90,270)+(F$4+$B20)/2*$W$31</f>
        <v>274.6610425442837</v>
      </c>
      <c r="H20" s="10">
        <f>$D$31*$D$30/($D$30-H$4+$B20)</f>
        <v>0.50227272727272732</v>
      </c>
      <c r="I20" s="95">
        <f>IF('New RPD &amp; RPB'!$H$8&gt;0,90,270)+(H$4+$B20)/2*$W$31</f>
        <v>272.33052127214182</v>
      </c>
      <c r="J20" s="79">
        <f>$D$31*$D$30/($D$30-J$4+$B20)</f>
        <v>0.52619047619047621</v>
      </c>
      <c r="K20" s="94">
        <f>IF('New RPD &amp; RPB'!$H$8&gt;0,90,270)+(J$4+$B20)/2*$W$31</f>
        <v>270</v>
      </c>
      <c r="L20" s="10">
        <f>$D$31*$D$30/($D$30-L$4+$B20)</f>
        <v>0.55249999999999999</v>
      </c>
      <c r="M20" s="95">
        <f>IF('New RPD &amp; RPB'!$H$8&gt;0,90,270)+(L$4+$B20)/2*$W$31</f>
        <v>267.66947872785818</v>
      </c>
      <c r="N20" s="79">
        <f>$D$31*$D$30/($D$30-N$4+$B20)</f>
        <v>0.58157894736842108</v>
      </c>
      <c r="O20" s="94">
        <f>IF('New RPD &amp; RPB'!$H$8&gt;0,90,270)+(N$4+$B20)/2*$W$31</f>
        <v>265.3389574557163</v>
      </c>
      <c r="P20" s="10">
        <f>$D$31*$D$30/($D$30-P$4+$B20)</f>
        <v>0.61388888888888893</v>
      </c>
      <c r="Q20" s="95">
        <f>IF('New RPD &amp; RPB'!$H$8&gt;0,90,270)+(P$4+$B20)/2*$W$31</f>
        <v>263.00843618357447</v>
      </c>
      <c r="R20" s="79">
        <f>$D$31*$D$30/($D$30-R$4+$B20)</f>
        <v>0.65</v>
      </c>
      <c r="S20" s="94">
        <f>IF('New RPD &amp; RPB'!$H$8&gt;0,90,270)+(R$4+$B20)/2*$W$31</f>
        <v>260.67791491143265</v>
      </c>
      <c r="T20" s="10">
        <f>$D$31*$D$30/($D$30-T$4+$B20)</f>
        <v>0.69062500000000004</v>
      </c>
      <c r="U20" s="95">
        <f>IF('New RPD &amp; RPB'!$H$8&gt;0,90,270)+(T$4+$B20)/2*$W$31</f>
        <v>258.34739363929077</v>
      </c>
      <c r="V20" s="79">
        <f>$D$31*$D$30/($D$30-V$4+$B20)</f>
        <v>0.73666666666666669</v>
      </c>
      <c r="W20" s="94">
        <f>IF('New RPD &amp; RPB'!$H$8&gt;0,90,270)+(V$4+$B20)/2*$W$31</f>
        <v>256.01687236714895</v>
      </c>
      <c r="X20" s="10">
        <f>$D$31*$D$30/($D$30-X$4+$B20)</f>
        <v>0.78928571428571437</v>
      </c>
      <c r="Y20" s="95">
        <f>IF('New RPD &amp; RPB'!$H$8&gt;0,90,270)+(X$4+$B20)/2*$W$31</f>
        <v>253.6863510950071</v>
      </c>
    </row>
    <row r="21" spans="1:25" ht="15" customHeight="1" thickBot="1" x14ac:dyDescent="0.3">
      <c r="A21" s="142"/>
      <c r="B21" s="149"/>
      <c r="C21" s="137"/>
      <c r="D21" s="96">
        <f>SQRT(POWER($F$30-($F$31+SIN(RADIANS(E20+$E$30-$B20))*D20),2)+POWER($G$30-($G$31+COS(RADIANS(E20+$E$30-$B20))*D20),2))</f>
        <v>0.7906676487420663</v>
      </c>
      <c r="E21" s="97">
        <f>MOD(DEGREES(ATAN2($G$30-($G$31+COS(RADIANS(E20+$E$30-$B20))*D20),$F$30-($F$31+SIN(RADIANS(E20+$E$30-$B20))*D20))),360)</f>
        <v>287.13790589558005</v>
      </c>
      <c r="F21" s="17">
        <f>SQRT(POWER($F$30-($F$31+SIN(RADIANS(G20+$E$30-$B20))*F20),2)+POWER($G$30-($G$31+COS(RADIANS(G20+$E$30-$B20))*F20),2))</f>
        <v>0.80446536109398981</v>
      </c>
      <c r="G21" s="14">
        <f>MOD(DEGREES(ATAN2($G$30-($G$31+COS(RADIANS(G20+$E$30-$B20))*F20),$F$30-($F$31+SIN(RADIANS(G20+$E$30-$B20))*F20))),360)</f>
        <v>288.86255506509758</v>
      </c>
      <c r="H21" s="96">
        <f>SQRT(POWER($F$30-($F$31+SIN(RADIANS(I20+$E$30-$B20))*H20),2)+POWER($G$30-($G$31+COS(RADIANS(I20+$E$30-$B20))*H20),2))</f>
        <v>0.82046346879939092</v>
      </c>
      <c r="I21" s="97">
        <f>MOD(DEGREES(ATAN2($G$30-($G$31+COS(RADIANS(I20+$E$30-$B20))*H20),$F$30-($F$31+SIN(RADIANS(I20+$E$30-$B20))*H20))),360)</f>
        <v>290.61886823173535</v>
      </c>
      <c r="J21" s="17">
        <f>SQRT(POWER($F$30-($F$31+SIN(RADIANS(K20+$E$30-$B20))*J20),2)+POWER($G$30-($G$31+COS(RADIANS(K20+$E$30-$B20))*J20),2))</f>
        <v>0.83892331340102999</v>
      </c>
      <c r="K21" s="14">
        <f>MOD(DEGREES(ATAN2($G$30-($G$31+COS(RADIANS(K20+$E$30-$B20))*J20),$F$30-($F$31+SIN(RADIANS(K20+$E$30-$B20))*J20))),360)</f>
        <v>292.40452899822338</v>
      </c>
      <c r="L21" s="96">
        <f>SQRT(POWER($F$30-($F$31+SIN(RADIANS(M20+$E$30-$B20))*L20),2)+POWER($G$30-($G$31+COS(RADIANS(M20+$E$30-$B20))*L20),2))</f>
        <v>0.86015523134206806</v>
      </c>
      <c r="M21" s="97">
        <f>MOD(DEGREES(ATAN2($G$30-($G$31+COS(RADIANS(M20+$E$30-$B20))*L20),$F$30-($F$31+SIN(RADIANS(M20+$E$30-$B20))*L20))),360)</f>
        <v>294.21735519394207</v>
      </c>
      <c r="N21" s="17">
        <f>SQRT(POWER($F$30-($F$31+SIN(RADIANS(O20+$E$30-$B20))*N20),2)+POWER($G$30-($G$31+COS(RADIANS(O20+$E$30-$B20))*N20),2))</f>
        <v>0.88453205813956692</v>
      </c>
      <c r="O21" s="14">
        <f>MOD(DEGREES(ATAN2($G$30-($G$31+COS(RADIANS(O20+$E$30-$B20))*N20),$F$30-($F$31+SIN(RADIANS(O20+$E$30-$B20))*N20))),360)</f>
        <v>296.05537414355729</v>
      </c>
      <c r="P21" s="96">
        <f>SQRT(POWER($F$30-($F$31+SIN(RADIANS(Q20+$E$30-$B20))*P20),2)+POWER($G$30-($G$31+COS(RADIANS(Q20+$E$30-$B20))*P20),2))</f>
        <v>0.91250721663496037</v>
      </c>
      <c r="Q21" s="97">
        <f>MOD(DEGREES(ATAN2($G$30-($G$31+COS(RADIANS(Q20+$E$30-$B20))*P20),$F$30-($F$31+SIN(RADIANS(Q20+$E$30-$B20))*P20))),360)</f>
        <v>297.91689969317264</v>
      </c>
      <c r="R21" s="17">
        <f>SQRT(POWER($F$30-($F$31+SIN(RADIANS(S20+$E$30-$B20))*R20),2)+POWER($G$30-($G$31+COS(RADIANS(S20+$E$30-$B20))*R20),2))</f>
        <v>0.94463926649040475</v>
      </c>
      <c r="S21" s="14">
        <f>MOD(DEGREES(ATAN2($G$30-($G$31+COS(RADIANS(S20+$E$30-$B20))*R20),$F$30-($F$31+SIN(RADIANS(S20+$E$30-$B20))*R20))),360)</f>
        <v>299.80060944326874</v>
      </c>
      <c r="T21" s="96">
        <f>SQRT(POWER($F$30-($F$31+SIN(RADIANS(U20+$E$30-$B20))*T20),2)+POWER($G$30-($G$31+COS(RADIANS(U20+$E$30-$B20))*T20),2))</f>
        <v>0.98162572950823046</v>
      </c>
      <c r="U21" s="97">
        <f>MOD(DEGREES(ATAN2($G$30-($G$31+COS(RADIANS(U20+$E$30-$B20))*T20),$F$30-($F$31+SIN(RADIANS(U20+$E$30-$B20))*T20))),360)</f>
        <v>301.70562079121635</v>
      </c>
      <c r="V21" s="17">
        <f>SQRT(POWER($F$30-($F$31+SIN(RADIANS(W20+$E$30-$B20))*V20),2)+POWER($G$30-($G$31+COS(RADIANS(W20+$E$30-$B20))*V20),2))</f>
        <v>1.0243505062350982</v>
      </c>
      <c r="W21" s="14">
        <f>MOD(DEGREES(ATAN2($G$30-($G$31+COS(RADIANS(W20+$E$30-$B20))*V20),$F$30-($F$31+SIN(RADIANS(W20+$E$30-$B20))*V20))),360)</f>
        <v>303.63156462521147</v>
      </c>
      <c r="X21" s="96">
        <f>SQRT(POWER($F$30-($F$31+SIN(RADIANS(Y20+$E$30-$B20))*X20),2)+POWER($G$30-($G$31+COS(RADIANS(Y20+$E$30-$B20))*X20),2))</f>
        <v>1.0739516662097168</v>
      </c>
      <c r="Y21" s="97">
        <f>MOD(DEGREES(ATAN2($G$30-($G$31+COS(RADIANS(Y20+$E$30-$B20))*X20),$F$30-($F$31+SIN(RADIANS(Y20+$E$30-$B20))*X20))),360)</f>
        <v>305.57865580781788</v>
      </c>
    </row>
    <row r="22" spans="1:25" ht="15" customHeight="1" thickTop="1" x14ac:dyDescent="0.25">
      <c r="A22" s="142"/>
      <c r="B22" s="153">
        <f>B20-4</f>
        <v>-12</v>
      </c>
      <c r="C22" s="136">
        <f>MOD('New RPD &amp; RPB'!E$6-B22,360)</f>
        <v>300</v>
      </c>
      <c r="D22" s="10">
        <f>$D$31*$D$30/($D$30-D$4+$B22)</f>
        <v>0.442</v>
      </c>
      <c r="E22" s="11">
        <f>IF('New RPD &amp; RPB'!$H$8&gt;0,90,270)+(D$4+$B22)/2*$W$31</f>
        <v>274.6610425442837</v>
      </c>
      <c r="F22" s="82">
        <f>$D$31*$D$30/($D$30-F$4+$B22)</f>
        <v>0.4604166666666667</v>
      </c>
      <c r="G22" s="92">
        <f>IF('New RPD &amp; RPB'!$H$8&gt;0,90,270)+(F$4+$B22)/2*$W$31</f>
        <v>272.33052127214182</v>
      </c>
      <c r="H22" s="10">
        <f>$D$31*$D$30/($D$30-H$4+$B22)</f>
        <v>0.48043478260869571</v>
      </c>
      <c r="I22" s="11">
        <f>IF('New RPD &amp; RPB'!$H$8&gt;0,90,270)+(H$4+$B22)/2*$W$31</f>
        <v>270</v>
      </c>
      <c r="J22" s="82">
        <f>$D$31*$D$30/($D$30-J$4+$B22)</f>
        <v>0.50227272727272732</v>
      </c>
      <c r="K22" s="92">
        <f>IF('New RPD &amp; RPB'!$H$8&gt;0,90,270)+(J$4+$B22)/2*$W$31</f>
        <v>267.66947872785818</v>
      </c>
      <c r="L22" s="10">
        <f>$D$31*$D$30/($D$30-L$4+$B22)</f>
        <v>0.52619047619047621</v>
      </c>
      <c r="M22" s="11">
        <f>IF('New RPD &amp; RPB'!$H$8&gt;0,90,270)+(L$4+$B22)/2*$W$31</f>
        <v>265.3389574557163</v>
      </c>
      <c r="N22" s="82">
        <f>$D$31*$D$30/($D$30-N$4+$B22)</f>
        <v>0.55249999999999999</v>
      </c>
      <c r="O22" s="92">
        <f>IF('New RPD &amp; RPB'!$H$8&gt;0,90,270)+(N$4+$B22)/2*$W$31</f>
        <v>263.00843618357447</v>
      </c>
      <c r="P22" s="10">
        <f>$D$31*$D$30/($D$30-P$4+$B22)</f>
        <v>0.58157894736842108</v>
      </c>
      <c r="Q22" s="11">
        <f>IF('New RPD &amp; RPB'!$H$8&gt;0,90,270)+(P$4+$B22)/2*$W$31</f>
        <v>260.67791491143265</v>
      </c>
      <c r="R22" s="82">
        <f>$D$31*$D$30/($D$30-R$4+$B22)</f>
        <v>0.61388888888888893</v>
      </c>
      <c r="S22" s="92">
        <f>IF('New RPD &amp; RPB'!$H$8&gt;0,90,270)+(R$4+$B22)/2*$W$31</f>
        <v>258.34739363929077</v>
      </c>
      <c r="T22" s="10">
        <f>$D$31*$D$30/($D$30-T$4+$B22)</f>
        <v>0.65</v>
      </c>
      <c r="U22" s="11">
        <f>IF('New RPD &amp; RPB'!$H$8&gt;0,90,270)+(T$4+$B22)/2*$W$31</f>
        <v>256.01687236714895</v>
      </c>
      <c r="V22" s="82">
        <f>$D$31*$D$30/($D$30-V$4+$B22)</f>
        <v>0.69062500000000004</v>
      </c>
      <c r="W22" s="92">
        <f>IF('New RPD &amp; RPB'!$H$8&gt;0,90,270)+(V$4+$B22)/2*$W$31</f>
        <v>253.6863510950071</v>
      </c>
      <c r="X22" s="10">
        <f>$D$31*$D$30/($D$30-X$4+$B22)</f>
        <v>0.73666666666666669</v>
      </c>
      <c r="Y22" s="11">
        <f>IF('New RPD &amp; RPB'!$H$8&gt;0,90,270)+(X$4+$B22)/2*$W$31</f>
        <v>251.35582982286525</v>
      </c>
    </row>
    <row r="23" spans="1:25" ht="15" customHeight="1" thickBot="1" x14ac:dyDescent="0.3">
      <c r="A23" s="142"/>
      <c r="B23" s="149"/>
      <c r="C23" s="137"/>
      <c r="D23" s="12">
        <f>SQRT(POWER($F$30-($F$31+SIN(RADIANS(E22+$E$30-$B22))*D22),2)+POWER($G$30-($G$31+COS(RADIANS(E22+$E$30-$B22))*D22),2))</f>
        <v>0.78365531728429283</v>
      </c>
      <c r="E23" s="13">
        <f>MOD(DEGREES(ATAN2($G$30-($G$31+COS(RADIANS(E22+$E$30-$B22))*D22),$F$30-($F$31+SIN(RADIANS(E22+$E$30-$B22))*D22))),360)</f>
        <v>285.57202805172585</v>
      </c>
      <c r="F23" s="87">
        <f>SQRT(POWER($F$30-($F$31+SIN(RADIANS(G22+$E$30-$B22))*F22),2)+POWER($G$30-($G$31+COS(RADIANS(G22+$E$30-$B22))*F22),2))</f>
        <v>0.79578711853775885</v>
      </c>
      <c r="G23" s="93">
        <f>MOD(DEGREES(ATAN2($G$30-($G$31+COS(RADIANS(G22+$E$30-$B22))*F22),$F$30-($F$31+SIN(RADIANS(G22+$E$30-$B22))*F22))),360)</f>
        <v>287.24026160375348</v>
      </c>
      <c r="H23" s="12">
        <f>SQRT(POWER($F$30-($F$31+SIN(RADIANS(I22+$E$30-$B22))*H22),2)+POWER($G$30-($G$31+COS(RADIANS(I22+$E$30-$B22))*H22),2))</f>
        <v>0.80989837464246217</v>
      </c>
      <c r="I23" s="13">
        <f>MOD(DEGREES(ATAN2($G$30-($G$31+COS(RADIANS(I22+$E$30-$B22))*H22),$F$30-($F$31+SIN(RADIANS(I22+$E$30-$B22))*H22))),360)</f>
        <v>288.94051854055186</v>
      </c>
      <c r="J23" s="87">
        <f>SQRT(POWER($F$30-($F$31+SIN(RADIANS(K22+$E$30-$B22))*J22),2)+POWER($G$30-($G$31+COS(RADIANS(K22+$E$30-$B22))*J22),2))</f>
        <v>0.82621065871084087</v>
      </c>
      <c r="K23" s="93">
        <f>MOD(DEGREES(ATAN2($G$30-($G$31+COS(RADIANS(K22+$E$30-$B22))*J22),$F$30-($F$31+SIN(RADIANS(K22+$E$30-$B22))*J22))),360)</f>
        <v>290.67049492097073</v>
      </c>
      <c r="L23" s="12">
        <f>SQRT(POWER($F$30-($F$31+SIN(RADIANS(M22+$E$30-$B22))*L22),2)+POWER($G$30-($G$31+COS(RADIANS(M22+$E$30-$B22))*L22),2))</f>
        <v>0.84498435021382279</v>
      </c>
      <c r="M23" s="13">
        <f>MOD(DEGREES(ATAN2($G$30-($G$31+COS(RADIANS(M22+$E$30-$B22))*L22),$F$30-($F$31+SIN(RADIANS(M22+$E$30-$B22))*L22))),360)</f>
        <v>292.42797345282219</v>
      </c>
      <c r="N23" s="87">
        <f>SQRT(POWER($F$30-($F$31+SIN(RADIANS(O22+$E$30-$B22))*N22),2)+POWER($G$30-($G$31+COS(RADIANS(O22+$E$30-$B22))*N22),2))</f>
        <v>0.86652884871946245</v>
      </c>
      <c r="O23" s="93">
        <f>MOD(DEGREES(ATAN2($G$30-($G$31+COS(RADIANS(O22+$E$30-$B22))*N22),$F$30-($F$31+SIN(RADIANS(O22+$E$30-$B22))*N22))),360)</f>
        <v>294.21089377614368</v>
      </c>
      <c r="P23" s="12">
        <f>SQRT(POWER($F$30-($F$31+SIN(RADIANS(Q22+$E$30-$B22))*P22),2)+POWER($G$30-($G$31+COS(RADIANS(Q22+$E$30-$B22))*P22),2))</f>
        <v>0.89121609291552861</v>
      </c>
      <c r="Q23" s="13">
        <f>MOD(DEGREES(ATAN2($G$30-($G$31+COS(RADIANS(Q22+$E$30-$B22))*P22),$F$30-($F$31+SIN(RADIANS(Q22+$E$30-$B22))*P22))),360)</f>
        <v>296.01742549989189</v>
      </c>
      <c r="R23" s="87">
        <f>SQRT(POWER($F$30-($F$31+SIN(RADIANS(S22+$E$30-$B22))*R22),2)+POWER($G$30-($G$31+COS(RADIANS(S22+$E$30-$B22))*R22),2))</f>
        <v>0.91949866197396868</v>
      </c>
      <c r="S23" s="93">
        <f>MOD(DEGREES(ATAN2($G$30-($G$31+COS(RADIANS(S22+$E$30-$B22))*R22),$F$30-($F$31+SIN(RADIANS(S22+$E$30-$B22))*R22))),360)</f>
        <v>297.84604254032439</v>
      </c>
      <c r="T23" s="12">
        <f>SQRT(POWER($F$30-($F$31+SIN(RADIANS(U22+$E$30-$B22))*T22),2)+POWER($G$30-($G$31+COS(RADIANS(U22+$E$30-$B22))*T22),2))</f>
        <v>0.95193433576506603</v>
      </c>
      <c r="U23" s="13">
        <f>MOD(DEGREES(ATAN2($G$30-($G$31+COS(RADIANS(U22+$E$30-$B22))*T22),$F$30-($F$31+SIN(RADIANS(U22+$E$30-$B22))*T22))),360)</f>
        <v>299.69559739955309</v>
      </c>
      <c r="V23" s="87">
        <f>SQRT(POWER($F$30-($F$31+SIN(RADIANS(W22+$E$30-$B22))*V22),2)+POWER($G$30-($G$31+COS(RADIANS(W22+$E$30-$B22))*V22),2))</f>
        <v>0.98921992791612512</v>
      </c>
      <c r="W23" s="93">
        <f>MOD(DEGREES(ATAN2($G$30-($G$31+COS(RADIANS(W22+$E$30-$B22))*V22),$F$30-($F$31+SIN(RADIANS(W22+$E$30-$B22))*V22))),360)</f>
        <v>301.56539420498831</v>
      </c>
      <c r="X23" s="12">
        <f>SQRT(POWER($F$30-($F$31+SIN(RADIANS(Y22+$E$30-$B22))*X22),2)+POWER($G$30-($G$31+COS(RADIANS(Y22+$E$30-$B22))*X22),2))</f>
        <v>1.0322387066896659</v>
      </c>
      <c r="Y23" s="13">
        <f>MOD(DEGREES(ATAN2($G$30-($G$31+COS(RADIANS(Y22+$E$30-$B22))*X22),$F$30-($F$31+SIN(RADIANS(Y22+$E$30-$B22))*X22))),360)</f>
        <v>303.45525958545767</v>
      </c>
    </row>
    <row r="24" spans="1:25" ht="15" customHeight="1" thickTop="1" x14ac:dyDescent="0.25">
      <c r="A24" s="142"/>
      <c r="B24" s="153">
        <f>B22-4</f>
        <v>-16</v>
      </c>
      <c r="C24" s="136">
        <f>MOD('New RPD &amp; RPB'!E$6-B24,360)</f>
        <v>304</v>
      </c>
      <c r="D24" s="10">
        <f>$D$31*$D$30/($D$30-D$4+$B24)</f>
        <v>0.42500000000000004</v>
      </c>
      <c r="E24" s="95">
        <f>IF('New RPD &amp; RPB'!$H$8&gt;0,90,270)+(D$4+$B24)/2*$W$31</f>
        <v>272.33052127214182</v>
      </c>
      <c r="F24" s="79">
        <f>$D$31*$D$30/($D$30-F$4+$B24)</f>
        <v>0.442</v>
      </c>
      <c r="G24" s="94">
        <f>IF('New RPD &amp; RPB'!$H$8&gt;0,90,270)+(F$4+$B24)/2*$W$31</f>
        <v>270</v>
      </c>
      <c r="H24" s="10">
        <f>$D$31*$D$30/($D$30-H$4+$B24)</f>
        <v>0.4604166666666667</v>
      </c>
      <c r="I24" s="95">
        <f>IF('New RPD &amp; RPB'!$H$8&gt;0,90,270)+(H$4+$B24)/2*$W$31</f>
        <v>267.66947872785818</v>
      </c>
      <c r="J24" s="79">
        <f>$D$31*$D$30/($D$30-J$4+$B24)</f>
        <v>0.48043478260869571</v>
      </c>
      <c r="K24" s="94">
        <f>IF('New RPD &amp; RPB'!$H$8&gt;0,90,270)+(J$4+$B24)/2*$W$31</f>
        <v>265.3389574557163</v>
      </c>
      <c r="L24" s="10">
        <f>$D$31*$D$30/($D$30-L$4+$B24)</f>
        <v>0.50227272727272732</v>
      </c>
      <c r="M24" s="95">
        <f>IF('New RPD &amp; RPB'!$H$8&gt;0,90,270)+(L$4+$B24)/2*$W$31</f>
        <v>263.00843618357447</v>
      </c>
      <c r="N24" s="79">
        <f>$D$31*$D$30/($D$30-N$4+$B24)</f>
        <v>0.52619047619047621</v>
      </c>
      <c r="O24" s="94">
        <f>IF('New RPD &amp; RPB'!$H$8&gt;0,90,270)+(N$4+$B24)/2*$W$31</f>
        <v>260.67791491143265</v>
      </c>
      <c r="P24" s="10">
        <f>$D$31*$D$30/($D$30-P$4+$B24)</f>
        <v>0.55249999999999999</v>
      </c>
      <c r="Q24" s="95">
        <f>IF('New RPD &amp; RPB'!$H$8&gt;0,90,270)+(P$4+$B24)/2*$W$31</f>
        <v>258.34739363929077</v>
      </c>
      <c r="R24" s="79">
        <f>$D$31*$D$30/($D$30-R$4+$B24)</f>
        <v>0.58157894736842108</v>
      </c>
      <c r="S24" s="94">
        <f>IF('New RPD &amp; RPB'!$H$8&gt;0,90,270)+(R$4+$B24)/2*$W$31</f>
        <v>256.01687236714895</v>
      </c>
      <c r="T24" s="10">
        <f>$D$31*$D$30/($D$30-T$4+$B24)</f>
        <v>0.61388888888888893</v>
      </c>
      <c r="U24" s="95">
        <f>IF('New RPD &amp; RPB'!$H$8&gt;0,90,270)+(T$4+$B24)/2*$W$31</f>
        <v>253.6863510950071</v>
      </c>
      <c r="V24" s="79">
        <f>$D$31*$D$30/($D$30-V$4+$B24)</f>
        <v>0.65</v>
      </c>
      <c r="W24" s="94">
        <f>IF('New RPD &amp; RPB'!$H$8&gt;0,90,270)+(V$4+$B24)/2*$W$31</f>
        <v>251.35582982286525</v>
      </c>
      <c r="X24" s="10">
        <f>$D$31*$D$30/($D$30-X$4+$B24)</f>
        <v>0.69062500000000004</v>
      </c>
      <c r="Y24" s="95">
        <f>IF('New RPD &amp; RPB'!$H$8&gt;0,90,270)+(X$4+$B24)/2*$W$31</f>
        <v>249.02530855072342</v>
      </c>
    </row>
    <row r="25" spans="1:25" ht="15" customHeight="1" thickBot="1" x14ac:dyDescent="0.3">
      <c r="A25" s="142"/>
      <c r="B25" s="149"/>
      <c r="C25" s="137"/>
      <c r="D25" s="96">
        <f>SQRT(POWER($F$30-($F$31+SIN(RADIANS(E24+$E$30-$B24))*D24),2)+POWER($G$30-($G$31+COS(RADIANS(E24+$E$30-$B24))*D24),2))</f>
        <v>0.7778374908606891</v>
      </c>
      <c r="E25" s="97">
        <f>MOD(DEGREES(ATAN2($G$30-($G$31+COS(RADIANS(E24+$E$30-$B24))*D24),$F$30-($F$31+SIN(RADIANS(E24+$E$30-$B24))*D24))),360)</f>
        <v>284.07765831387212</v>
      </c>
      <c r="F25" s="17">
        <f>SQRT(POWER($F$30-($F$31+SIN(RADIANS(G24+$E$30-$B24))*F24),2)+POWER($G$30-($G$31+COS(RADIANS(G24+$E$30-$B24))*F24),2))</f>
        <v>0.78848563913406211</v>
      </c>
      <c r="G25" s="14">
        <f>MOD(DEGREES(ATAN2($G$30-($G$31+COS(RADIANS(G24+$E$30-$B24))*F24),$F$30-($F$31+SIN(RADIANS(G24+$E$30-$B24))*F24))),360)</f>
        <v>285.6911919214366</v>
      </c>
      <c r="H25" s="96">
        <f>SQRT(POWER($F$30-($F$31+SIN(RADIANS(I24+$E$30-$B24))*H24),2)+POWER($G$30-($G$31+COS(RADIANS(I24+$E$30-$B24))*H24),2))</f>
        <v>0.80092494849410412</v>
      </c>
      <c r="I25" s="97">
        <f>MOD(DEGREES(ATAN2($G$30-($G$31+COS(RADIANS(I24+$E$30-$B24))*H24),$F$30-($F$31+SIN(RADIANS(I24+$E$30-$B24))*H24))),360)</f>
        <v>287.3370734319189</v>
      </c>
      <c r="J25" s="17">
        <f>SQRT(POWER($F$30-($F$31+SIN(RADIANS(K24+$E$30-$B24))*J24),2)+POWER($G$30-($G$31+COS(RADIANS(K24+$E$30-$B24))*J24),2))</f>
        <v>0.81534505339200902</v>
      </c>
      <c r="K25" s="14">
        <f>MOD(DEGREES(ATAN2($G$30-($G$31+COS(RADIANS(K24+$E$30-$B24))*J24),$F$30-($F$31+SIN(RADIANS(K24+$E$30-$B24))*J24))),360)</f>
        <v>289.01303124134103</v>
      </c>
      <c r="L25" s="96">
        <f>SQRT(POWER($F$30-($F$31+SIN(RADIANS(M24+$E$30-$B24))*L24),2)+POWER($G$30-($G$31+COS(RADIANS(M24+$E$30-$B24))*L24),2))</f>
        <v>0.83196660050153048</v>
      </c>
      <c r="M25" s="97">
        <f>MOD(DEGREES(ATAN2($G$30-($G$31+COS(RADIANS(M24+$E$30-$B24))*L24),$F$30-($F$31+SIN(RADIANS(M24+$E$30-$B24))*L24))),360)</f>
        <v>290.71683778971783</v>
      </c>
      <c r="N25" s="17">
        <f>SQRT(POWER($F$30-($F$31+SIN(RADIANS(O24+$E$30-$B24))*N24),2)+POWER($G$30-($G$31+COS(RADIANS(O24+$E$30-$B24))*N24),2))</f>
        <v>0.85104905813261433</v>
      </c>
      <c r="O25" s="14">
        <f>MOD(DEGREES(ATAN2($G$30-($G$31+COS(RADIANS(O24+$E$30-$B24))*N24),$F$30-($F$31+SIN(RADIANS(O24+$E$30-$B24))*N24))),360)</f>
        <v>292.4463745418845</v>
      </c>
      <c r="P25" s="96">
        <f>SQRT(POWER($F$30-($F$31+SIN(RADIANS(Q24+$E$30-$B24))*P24),2)+POWER($G$30-($G$31+COS(RADIANS(Q24+$E$30-$B24))*P24),2))</f>
        <v>0.87290094490262637</v>
      </c>
      <c r="Q25" s="97">
        <f>MOD(DEGREES(ATAN2($G$30-($G$31+COS(RADIANS(Q24+$E$30-$B24))*P24),$F$30-($F$31+SIN(RADIANS(Q24+$E$30-$B24))*P24))),360)</f>
        <v>294.19970053030988</v>
      </c>
      <c r="R25" s="17">
        <f>SQRT(POWER($F$30-($F$31+SIN(RADIANS(S24+$E$30-$B24))*R24),2)+POWER($G$30-($G$31+COS(RADIANS(S24+$E$30-$B24))*R24),2))</f>
        <v>0.89789336253388341</v>
      </c>
      <c r="S25" s="14">
        <f>MOD(DEGREES(ATAN2($G$30-($G$31+COS(RADIANS(S24+$E$30-$B24))*R24),$F$30-($F$31+SIN(RADIANS(S24+$E$30-$B24))*R24))),360)</f>
        <v>295.97512312633808</v>
      </c>
      <c r="T25" s="96">
        <f>SQRT(POWER($F$30-($F$31+SIN(RADIANS(U24+$E$30-$B24))*T24),2)+POWER($G$30-($G$31+COS(RADIANS(U24+$E$30-$B24))*T24),2))</f>
        <v>0.92647810919160056</v>
      </c>
      <c r="U25" s="97">
        <f>MOD(DEGREES(ATAN2($G$30-($G$31+COS(RADIANS(U24+$E$30-$B24))*T24),$F$30-($F$31+SIN(RADIANS(U24+$E$30-$B24))*T24))),360)</f>
        <v>297.77126973771243</v>
      </c>
      <c r="V25" s="17">
        <f>SQRT(POWER($F$30-($F$31+SIN(RADIANS(W24+$E$30-$B24))*V24),2)+POWER($G$30-($G$31+COS(RADIANS(W24+$E$30-$B24))*V24),2))</f>
        <v>0.95921224928123683</v>
      </c>
      <c r="W25" s="14">
        <f>MOD(DEGREES(ATAN2($G$30-($G$31+COS(RADIANS(W24+$E$30-$B24))*V24),$F$30-($F$31+SIN(RADIANS(W24+$E$30-$B24))*V24))),360)</f>
        <v>299.58715925416652</v>
      </c>
      <c r="X25" s="96">
        <f>SQRT(POWER($F$30-($F$31+SIN(RADIANS(Y24+$E$30-$B24))*X24),2)+POWER($G$30-($G$31+COS(RADIANS(Y24+$E$30-$B24))*X24),2))</f>
        <v>0.99679195318885261</v>
      </c>
      <c r="Y25" s="97">
        <f>MOD(DEGREES(ATAN2($G$30-($G$31+COS(RADIANS(Y24+$E$30-$B24))*X24),$F$30-($F$31+SIN(RADIANS(Y24+$E$30-$B24))*X24))),360)</f>
        <v>301.42227226819739</v>
      </c>
    </row>
    <row r="26" spans="1:25" ht="15" customHeight="1" thickTop="1" x14ac:dyDescent="0.25">
      <c r="A26" s="142"/>
      <c r="B26" s="153">
        <f>B24-4</f>
        <v>-20</v>
      </c>
      <c r="C26" s="136">
        <f>MOD('New RPD &amp; RPB'!E$6-B26,360)</f>
        <v>308</v>
      </c>
      <c r="D26" s="10">
        <f>$D$31*$D$30/($D$30-D$4+$B26)</f>
        <v>0.40925925925925927</v>
      </c>
      <c r="E26" s="11">
        <f>IF('New RPD &amp; RPB'!$H$8&gt;0,90,270)+(D$4+$B26)/2*$W$31</f>
        <v>270</v>
      </c>
      <c r="F26" s="82">
        <f>$D$31*$D$30/($D$30-F$4+$B26)</f>
        <v>0.42500000000000004</v>
      </c>
      <c r="G26" s="92">
        <f>IF('New RPD &amp; RPB'!$H$8&gt;0,90,270)+(F$4+$B26)/2*$W$31</f>
        <v>267.66947872785818</v>
      </c>
      <c r="H26" s="10">
        <f>$D$31*$D$30/($D$30-H$4+$B26)</f>
        <v>0.442</v>
      </c>
      <c r="I26" s="11">
        <f>IF('New RPD &amp; RPB'!$H$8&gt;0,90,270)+(H$4+$B26)/2*$W$31</f>
        <v>265.3389574557163</v>
      </c>
      <c r="J26" s="82">
        <f>$D$31*$D$30/($D$30-J$4+$B26)</f>
        <v>0.4604166666666667</v>
      </c>
      <c r="K26" s="92">
        <f>IF('New RPD &amp; RPB'!$H$8&gt;0,90,270)+(J$4+$B26)/2*$W$31</f>
        <v>263.00843618357447</v>
      </c>
      <c r="L26" s="10">
        <f>$D$31*$D$30/($D$30-L$4+$B26)</f>
        <v>0.48043478260869571</v>
      </c>
      <c r="M26" s="11">
        <f>IF('New RPD &amp; RPB'!$H$8&gt;0,90,270)+(L$4+$B26)/2*$W$31</f>
        <v>260.67791491143265</v>
      </c>
      <c r="N26" s="82">
        <f>$D$31*$D$30/($D$30-N$4+$B26)</f>
        <v>0.50227272727272732</v>
      </c>
      <c r="O26" s="92">
        <f>IF('New RPD &amp; RPB'!$H$8&gt;0,90,270)+(N$4+$B26)/2*$W$31</f>
        <v>258.34739363929077</v>
      </c>
      <c r="P26" s="10">
        <f>$D$31*$D$30/($D$30-P$4+$B26)</f>
        <v>0.52619047619047621</v>
      </c>
      <c r="Q26" s="11">
        <f>IF('New RPD &amp; RPB'!$H$8&gt;0,90,270)+(P$4+$B26)/2*$W$31</f>
        <v>256.01687236714895</v>
      </c>
      <c r="R26" s="82">
        <f>$D$31*$D$30/($D$30-R$4+$B26)</f>
        <v>0.55249999999999999</v>
      </c>
      <c r="S26" s="92">
        <f>IF('New RPD &amp; RPB'!$H$8&gt;0,90,270)+(R$4+$B26)/2*$W$31</f>
        <v>253.6863510950071</v>
      </c>
      <c r="T26" s="10">
        <f>$D$31*$D$30/($D$30-T$4+$B26)</f>
        <v>0.58157894736842108</v>
      </c>
      <c r="U26" s="11">
        <f>IF('New RPD &amp; RPB'!$H$8&gt;0,90,270)+(T$4+$B26)/2*$W$31</f>
        <v>251.35582982286525</v>
      </c>
      <c r="V26" s="82">
        <f>$D$31*$D$30/($D$30-V$4+$B26)</f>
        <v>0.61388888888888893</v>
      </c>
      <c r="W26" s="92">
        <f>IF('New RPD &amp; RPB'!$H$8&gt;0,90,270)+(V$4+$B26)/2*$W$31</f>
        <v>249.02530855072342</v>
      </c>
      <c r="X26" s="10">
        <f>$D$31*$D$30/($D$30-X$4+$B26)</f>
        <v>0.65</v>
      </c>
      <c r="Y26" s="11">
        <f>IF('New RPD &amp; RPB'!$H$8&gt;0,90,270)+(X$4+$B26)/2*$W$31</f>
        <v>246.69478727858157</v>
      </c>
    </row>
    <row r="27" spans="1:25" ht="15" customHeight="1" thickBot="1" x14ac:dyDescent="0.3">
      <c r="A27" s="142"/>
      <c r="B27" s="149"/>
      <c r="C27" s="137"/>
      <c r="D27" s="12">
        <f>SQRT(POWER($F$30-($F$31+SIN(RADIANS(E26+$E$30-$B26))*D26),2)+POWER($G$30-($G$31+COS(RADIANS(E26+$E$30-$B26))*D26),2))</f>
        <v>0.77306854302570438</v>
      </c>
      <c r="E27" s="13">
        <f>MOD(DEGREES(ATAN2($G$30-($G$31+COS(RADIANS(E26+$E$30-$B26))*D26),$F$30-($F$31+SIN(RADIANS(E26+$E$30-$B26))*D26))),360)</f>
        <v>282.65121275051399</v>
      </c>
      <c r="F27" s="87">
        <f>SQRT(POWER($F$30-($F$31+SIN(RADIANS(G26+$E$30-$B26))*F26),2)+POWER($G$30-($G$31+COS(RADIANS(G26+$E$30-$B26))*F26),2))</f>
        <v>0.78238842924979113</v>
      </c>
      <c r="G27" s="93">
        <f>MOD(DEGREES(ATAN2($G$30-($G$31+COS(RADIANS(G26+$E$30-$B26))*F26),$F$30-($F$31+SIN(RADIANS(G26+$E$30-$B26))*F26))),360)</f>
        <v>284.21172150204484</v>
      </c>
      <c r="H27" s="12">
        <f>SQRT(POWER($F$30-($F$31+SIN(RADIANS(I26+$E$30-$B26))*H26),2)+POWER($G$30-($G$31+COS(RADIANS(I26+$E$30-$B26))*H26),2))</f>
        <v>0.79333769940341226</v>
      </c>
      <c r="I27" s="13">
        <f>MOD(DEGREES(ATAN2($G$30-($G$31+COS(RADIANS(I26+$E$30-$B26))*H26),$F$30-($F$31+SIN(RADIANS(I26+$E$30-$B26))*H26))),360)</f>
        <v>285.80486744595345</v>
      </c>
      <c r="J27" s="87">
        <f>SQRT(POWER($F$30-($F$31+SIN(RADIANS(K26+$E$30-$B26))*J26),2)+POWER($G$30-($G$31+COS(RADIANS(K26+$E$30-$B26))*J26),2))</f>
        <v>0.80608011019705039</v>
      </c>
      <c r="K27" s="93">
        <f>MOD(DEGREES(ATAN2($G$30-($G$31+COS(RADIANS(K26+$E$30-$B26))*J26),$F$30-($F$31+SIN(RADIANS(K26+$E$30-$B26))*J26))),360)</f>
        <v>287.42842846244434</v>
      </c>
      <c r="L27" s="12">
        <f>SQRT(POWER($F$30-($F$31+SIN(RADIANS(M26+$E$30-$B26))*L26),2)+POWER($G$30-($G$31+COS(RADIANS(M26+$E$30-$B26))*L26),2))</f>
        <v>0.82080440752884365</v>
      </c>
      <c r="M27" s="13">
        <f>MOD(DEGREES(ATAN2($G$30-($G$31+COS(RADIANS(M26+$E$30-$B26))*L26),$F$30-($F$31+SIN(RADIANS(M26+$E$30-$B26))*L26))),360)</f>
        <v>289.08018874083803</v>
      </c>
      <c r="N27" s="87">
        <f>SQRT(POWER($F$30-($F$31+SIN(RADIANS(O26+$E$30-$B26))*N26),2)+POWER($G$30-($G$31+COS(RADIANS(O26+$E$30-$B26))*N26),2))</f>
        <v>0.83773035550629427</v>
      </c>
      <c r="O27" s="93">
        <f>MOD(DEGREES(ATAN2($G$30-($G$31+COS(RADIANS(O26+$E$30-$B26))*N26),$F$30-($F$31+SIN(RADIANS(O26+$E$30-$B26))*N26))),360)</f>
        <v>290.75799829646616</v>
      </c>
      <c r="P27" s="12">
        <f>SQRT(POWER($F$30-($F$31+SIN(RADIANS(Q26+$E$30-$B26))*P26),2)+POWER($G$30-($G$31+COS(RADIANS(Q26+$E$30-$B26))*P26),2))</f>
        <v>0.85711656053179452</v>
      </c>
      <c r="Q27" s="13">
        <f>MOD(DEGREES(ATAN2($G$30-($G$31+COS(RADIANS(Q26+$E$30-$B26))*P26),$F$30-($F$31+SIN(RADIANS(Q26+$E$30-$B26))*P26))),360)</f>
        <v>292.4598366869435</v>
      </c>
      <c r="R27" s="87">
        <f>SQRT(POWER($F$30-($F$31+SIN(RADIANS(S26+$E$30-$B26))*R26),2)+POWER($G$30-($G$31+COS(RADIANS(S26+$E$30-$B26))*R26),2))</f>
        <v>0.87927071399638457</v>
      </c>
      <c r="S27" s="93">
        <f>MOD(DEGREES(ATAN2($G$30-($G$31+COS(RADIANS(S26+$E$30-$B26))*R26),$F$30-($F$31+SIN(RADIANS(S26+$E$30-$B26))*R26))),360)</f>
        <v>294.18387972683843</v>
      </c>
      <c r="T27" s="12">
        <f>SQRT(POWER($F$30-($F$31+SIN(RADIANS(U26+$E$30-$B26))*T26),2)+POWER($G$30-($G$31+COS(RADIANS(U26+$E$30-$B26))*T26),2))</f>
        <v>0.90456313783797182</v>
      </c>
      <c r="U27" s="13">
        <f>MOD(DEGREES(ATAN2($G$30-($G$31+COS(RADIANS(U26+$E$30-$B26))*T26),$F$30-($F$31+SIN(RADIANS(U26+$E$30-$B26))*T26))),360)</f>
        <v>295.92856797908655</v>
      </c>
      <c r="V27" s="87">
        <f>SQRT(POWER($F$30-($F$31+SIN(RADIANS(W26+$E$30-$B26))*V26),2)+POWER($G$30-($G$31+COS(RADIANS(W26+$E$30-$B26))*V26),2))</f>
        <v>0.93344490879802089</v>
      </c>
      <c r="W27" s="93">
        <f>MOD(DEGREES(ATAN2($G$30-($G$31+COS(RADIANS(W26+$E$30-$B26))*V26),$F$30-($F$31+SIN(RADIANS(W26+$E$30-$B26))*V26))),360)</f>
        <v>297.69267586927504</v>
      </c>
      <c r="X27" s="12">
        <f>SQRT(POWER($F$30-($F$31+SIN(RADIANS(Y26+$E$30-$B26))*X26),2)+POWER($G$30-($G$31+COS(RADIANS(Y26+$E$30-$B26))*X26),2))</f>
        <v>0.96647243677388861</v>
      </c>
      <c r="Y27" s="13">
        <f>MOD(DEGREES(ATAN2($G$30-($G$31+COS(RADIANS(Y26+$E$30-$B26))*X26),$F$30-($F$31+SIN(RADIANS(Y26+$E$30-$B26))*X26))),360)</f>
        <v>299.47538042092117</v>
      </c>
    </row>
    <row r="28" spans="1:25" ht="15.75" thickTop="1" x14ac:dyDescent="0.25">
      <c r="Q28" s="111"/>
      <c r="W28" t="s">
        <v>23</v>
      </c>
    </row>
    <row r="29" spans="1:25" hidden="1" x14ac:dyDescent="0.25"/>
    <row r="30" spans="1:25" hidden="1" x14ac:dyDescent="0.25">
      <c r="D30">
        <f>'New RPD &amp; RPB'!H8</f>
        <v>-68</v>
      </c>
      <c r="E30">
        <f>Init_Co</f>
        <v>288</v>
      </c>
      <c r="F30" s="2">
        <f>'New RPD &amp; RPB'!$L$6</f>
        <v>-0.80540362551952793</v>
      </c>
      <c r="G30" s="2">
        <f>'New RPD &amp; RPB'!$M$6</f>
        <v>0.46500000000000014</v>
      </c>
      <c r="O30">
        <v>10</v>
      </c>
      <c r="P30">
        <v>3</v>
      </c>
    </row>
    <row r="31" spans="1:25" hidden="1" x14ac:dyDescent="0.25">
      <c r="D31">
        <f>'New RPD &amp; RPB'!E8</f>
        <v>0.65</v>
      </c>
      <c r="F31" s="2">
        <f>'New RPD &amp; RPB'!$L$7</f>
        <v>0.20086104634371568</v>
      </c>
      <c r="G31" s="2">
        <f>'New RPD &amp; RPB'!M7</f>
        <v>0.61818673559184989</v>
      </c>
      <c r="N31" s="1">
        <f>ABS('New RPD &amp; RPB'!H9)</f>
        <v>34</v>
      </c>
      <c r="O31" s="2">
        <f>O30+SIN(RADIANS(N31))*P30</f>
        <v>11.677578710412241</v>
      </c>
      <c r="P31" s="2">
        <f>COS(RADIANS(N31))*P30</f>
        <v>2.4871127176651249</v>
      </c>
      <c r="Q31" s="1">
        <f>DEGREES(ATAN2(O31,P31))</f>
        <v>12.023313759456316</v>
      </c>
      <c r="R31" s="2">
        <f>O30-SIN(RADIANS(N31))*P30</f>
        <v>8.3224212895877585</v>
      </c>
      <c r="S31" s="2">
        <f>COS(RADIANS(N31))*P30</f>
        <v>2.4871127176651249</v>
      </c>
      <c r="T31" s="1">
        <f>DEGREES(ATAN2(R31,S31))</f>
        <v>16.638504407337482</v>
      </c>
      <c r="U31" s="1">
        <f>(Q31+T31)/2</f>
        <v>14.3309090833969</v>
      </c>
      <c r="V31" s="1">
        <f>DEGREES(ATAN2(O30,P30))</f>
        <v>16.699244233993621</v>
      </c>
      <c r="W31" s="7">
        <f>V31/U31</f>
        <v>1.1652606360709217</v>
      </c>
    </row>
    <row r="32" spans="1:25" hidden="1" x14ac:dyDescent="0.25"/>
  </sheetData>
  <sheetProtection password="870B" sheet="1" objects="1" scenarios="1" selectLockedCells="1" selectUnlockedCells="1"/>
  <mergeCells count="49">
    <mergeCell ref="X5:Y5"/>
    <mergeCell ref="G1:N2"/>
    <mergeCell ref="O1:P2"/>
    <mergeCell ref="Q1:T2"/>
    <mergeCell ref="D3:Y3"/>
    <mergeCell ref="D4:E4"/>
    <mergeCell ref="F4:G4"/>
    <mergeCell ref="H4:I4"/>
    <mergeCell ref="J4:K4"/>
    <mergeCell ref="L4:M4"/>
    <mergeCell ref="N4:O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P4:Q4"/>
    <mergeCell ref="R4:S4"/>
    <mergeCell ref="T4:U4"/>
    <mergeCell ref="V4:W4"/>
    <mergeCell ref="X4:Y4"/>
    <mergeCell ref="A6:A27"/>
    <mergeCell ref="B6:B7"/>
    <mergeCell ref="B8:B9"/>
    <mergeCell ref="B10:B11"/>
    <mergeCell ref="B12:B13"/>
    <mergeCell ref="B14:B15"/>
    <mergeCell ref="B16:B17"/>
    <mergeCell ref="B18:B19"/>
    <mergeCell ref="C16:C17"/>
    <mergeCell ref="C18:C19"/>
    <mergeCell ref="C20:C21"/>
    <mergeCell ref="B24:B25"/>
    <mergeCell ref="B26:B27"/>
    <mergeCell ref="C6:C7"/>
    <mergeCell ref="C8:C9"/>
    <mergeCell ref="C10:C11"/>
    <mergeCell ref="C12:C13"/>
    <mergeCell ref="C14:C15"/>
    <mergeCell ref="C22:C23"/>
    <mergeCell ref="C24:C25"/>
    <mergeCell ref="C26:C27"/>
    <mergeCell ref="B20:B21"/>
    <mergeCell ref="B22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New RPD &amp; RPB</vt:lpstr>
      <vt:lpstr>5° Table</vt:lpstr>
      <vt:lpstr>10° Table</vt:lpstr>
      <vt:lpstr>15° Table </vt:lpstr>
      <vt:lpstr>20° Table</vt:lpstr>
      <vt:lpstr>Init_Co</vt:lpstr>
      <vt:lpstr>Initial_Course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Sue McEvoy</cp:lastModifiedBy>
  <dcterms:created xsi:type="dcterms:W3CDTF">2014-04-01T05:06:57Z</dcterms:created>
  <dcterms:modified xsi:type="dcterms:W3CDTF">2018-11-15T21:49:43Z</dcterms:modified>
</cp:coreProperties>
</file>